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351" i="1" l="1"/>
  <c r="H350" i="1"/>
  <c r="D350" i="1"/>
  <c r="E350" i="1"/>
  <c r="H229" i="1"/>
  <c r="D229" i="1"/>
  <c r="E229" i="1" s="1"/>
  <c r="H226" i="1"/>
  <c r="D202" i="1"/>
  <c r="G202" i="1"/>
  <c r="G188" i="1"/>
  <c r="D160" i="1"/>
  <c r="E160" i="1" s="1"/>
  <c r="H161" i="1"/>
  <c r="D84" i="1"/>
  <c r="D432" i="1"/>
  <c r="E432" i="1" s="1"/>
  <c r="D415" i="1"/>
  <c r="D411" i="1"/>
  <c r="E411" i="1" s="1"/>
  <c r="G411" i="1" s="1"/>
  <c r="D406" i="1"/>
  <c r="D405" i="1"/>
  <c r="E405" i="1" s="1"/>
  <c r="G405" i="1" s="1"/>
  <c r="D389" i="1"/>
  <c r="E389" i="1" s="1"/>
  <c r="D388" i="1"/>
  <c r="D376" i="1"/>
  <c r="E376" i="1" s="1"/>
  <c r="G376" i="1" s="1"/>
  <c r="D375" i="1"/>
  <c r="E375" i="1" s="1"/>
  <c r="D374" i="1"/>
  <c r="D364" i="1"/>
  <c r="E364" i="1" s="1"/>
  <c r="D362" i="1"/>
  <c r="E362" i="1" s="1"/>
  <c r="G362" i="1" s="1"/>
  <c r="D347" i="1"/>
  <c r="E347" i="1" s="1"/>
  <c r="G347" i="1" s="1"/>
  <c r="D342" i="1"/>
  <c r="D336" i="1"/>
  <c r="D334" i="1"/>
  <c r="D328" i="1"/>
  <c r="E328" i="1" s="1"/>
  <c r="E330" i="1"/>
  <c r="G330" i="1" s="1"/>
  <c r="D326" i="1"/>
  <c r="E326" i="1" s="1"/>
  <c r="D319" i="1"/>
  <c r="D316" i="1"/>
  <c r="E316" i="1" s="1"/>
  <c r="G316" i="1" s="1"/>
  <c r="D306" i="1"/>
  <c r="D303" i="1"/>
  <c r="D301" i="1"/>
  <c r="D294" i="1"/>
  <c r="E294" i="1" s="1"/>
  <c r="D292" i="1"/>
  <c r="E292" i="1" s="1"/>
  <c r="G292" i="1" s="1"/>
  <c r="D291" i="1"/>
  <c r="E291" i="1" s="1"/>
  <c r="D288" i="1"/>
  <c r="D285" i="1"/>
  <c r="E285" i="1" s="1"/>
  <c r="D282" i="1"/>
  <c r="D281" i="1"/>
  <c r="E281" i="1" s="1"/>
  <c r="D271" i="1"/>
  <c r="D267" i="1"/>
  <c r="D260" i="1"/>
  <c r="E260" i="1" s="1"/>
  <c r="D255" i="1"/>
  <c r="E255" i="1" s="1"/>
  <c r="G255" i="1" s="1"/>
  <c r="D251" i="1"/>
  <c r="E251" i="1" s="1"/>
  <c r="G251" i="1" s="1"/>
  <c r="D245" i="1"/>
  <c r="E245" i="1" s="1"/>
  <c r="D244" i="1" l="1"/>
  <c r="E244" i="1" s="1"/>
  <c r="G244" i="1" s="1"/>
  <c r="D243" i="1"/>
  <c r="E243" i="1" s="1"/>
  <c r="D221" i="1"/>
  <c r="D219" i="1"/>
  <c r="E219" i="1" s="1"/>
  <c r="D216" i="1"/>
  <c r="E216" i="1" s="1"/>
  <c r="G216" i="1" s="1"/>
  <c r="D215" i="1"/>
  <c r="E215" i="1" s="1"/>
  <c r="D208" i="1"/>
  <c r="D207" i="1"/>
  <c r="D205" i="1"/>
  <c r="E206" i="1"/>
  <c r="G206" i="1" s="1"/>
  <c r="E205" i="1"/>
  <c r="D198" i="1"/>
  <c r="E198" i="1" s="1"/>
  <c r="D185" i="1"/>
  <c r="D184" i="1"/>
  <c r="E184" i="1" s="1"/>
  <c r="D176" i="1"/>
  <c r="E176" i="1" s="1"/>
  <c r="D171" i="1"/>
  <c r="E171" i="1" s="1"/>
  <c r="D156" i="1"/>
  <c r="E156" i="1" s="1"/>
  <c r="D155" i="1"/>
  <c r="E155" i="1" s="1"/>
  <c r="D154" i="1"/>
  <c r="E154" i="1" s="1"/>
  <c r="G154" i="1" s="1"/>
  <c r="D153" i="1"/>
  <c r="E153" i="1" s="1"/>
  <c r="D151" i="1"/>
  <c r="D144" i="1"/>
  <c r="D137" i="1"/>
  <c r="E137" i="1" s="1"/>
  <c r="D136" i="1"/>
  <c r="E136" i="1" s="1"/>
  <c r="G136" i="1" s="1"/>
  <c r="D135" i="1"/>
  <c r="E135" i="1" s="1"/>
  <c r="D124" i="1"/>
  <c r="E124" i="1" s="1"/>
  <c r="G124" i="1" s="1"/>
  <c r="D120" i="1"/>
  <c r="E120" i="1" s="1"/>
  <c r="G120" i="1" s="1"/>
  <c r="D112" i="1"/>
  <c r="E112" i="1" s="1"/>
  <c r="D104" i="1"/>
  <c r="E104" i="1" s="1"/>
  <c r="G104" i="1" s="1"/>
  <c r="D93" i="1"/>
  <c r="D88" i="1"/>
  <c r="D83" i="1"/>
  <c r="D81" i="1"/>
  <c r="E81" i="1" s="1"/>
  <c r="D78" i="1"/>
  <c r="E78" i="1" s="1"/>
  <c r="G78" i="1" s="1"/>
  <c r="D71" i="1"/>
  <c r="E71" i="1" s="1"/>
  <c r="G71" i="1" s="1"/>
  <c r="D65" i="1"/>
  <c r="E65" i="1" s="1"/>
  <c r="D66" i="1"/>
  <c r="D61" i="1"/>
  <c r="E61" i="1" s="1"/>
  <c r="D60" i="1"/>
  <c r="E60" i="1" s="1"/>
  <c r="D57" i="1"/>
  <c r="D56" i="1"/>
  <c r="E56" i="1" s="1"/>
  <c r="D53" i="1"/>
  <c r="E53" i="1" s="1"/>
  <c r="D47" i="1"/>
  <c r="E47" i="1" s="1"/>
  <c r="D24" i="1"/>
  <c r="E24" i="1" s="1"/>
  <c r="G24" i="1" s="1"/>
  <c r="D23" i="1"/>
  <c r="E23" i="1" s="1"/>
  <c r="D14" i="1"/>
  <c r="E14" i="1" s="1"/>
  <c r="D15" i="1"/>
  <c r="E15" i="1" s="1"/>
  <c r="D80" i="1"/>
  <c r="E80" i="1" s="1"/>
  <c r="G80" i="1" s="1"/>
  <c r="H99" i="1"/>
  <c r="D99" i="1"/>
  <c r="E99" i="1" s="1"/>
  <c r="D323" i="1"/>
  <c r="D372" i="1"/>
  <c r="E372" i="1" s="1"/>
  <c r="G372" i="1" s="1"/>
  <c r="D175" i="1"/>
  <c r="E175" i="1" s="1"/>
  <c r="D19" i="1"/>
  <c r="E19" i="1" s="1"/>
  <c r="G19" i="1" s="1"/>
  <c r="D358" i="1"/>
  <c r="E358" i="1" s="1"/>
  <c r="D329" i="1"/>
  <c r="E329" i="1" s="1"/>
  <c r="D74" i="1"/>
  <c r="E74" i="1" s="1"/>
  <c r="H84" i="1"/>
  <c r="E84" i="1"/>
  <c r="H419" i="1"/>
  <c r="D419" i="1"/>
  <c r="E419" i="1" s="1"/>
  <c r="D167" i="1"/>
  <c r="E167" i="1" s="1"/>
  <c r="G167" i="1" s="1"/>
  <c r="D4" i="1"/>
  <c r="H435" i="1"/>
  <c r="D435" i="1"/>
  <c r="E435" i="1" s="1"/>
  <c r="H436" i="1"/>
  <c r="D436" i="1"/>
  <c r="E436" i="1" s="1"/>
  <c r="D94" i="1"/>
  <c r="D177" i="1"/>
  <c r="E177" i="1" s="1"/>
  <c r="D161" i="1"/>
  <c r="E161" i="1" s="1"/>
  <c r="G161" i="1" s="1"/>
  <c r="D188" i="1"/>
  <c r="H217" i="1"/>
  <c r="D217" i="1"/>
  <c r="E217" i="1" s="1"/>
  <c r="G99" i="1" l="1"/>
  <c r="C201" i="1"/>
  <c r="E380" i="1" l="1"/>
  <c r="G380" i="1" s="1"/>
  <c r="H305" i="1" l="1"/>
  <c r="D305" i="1"/>
  <c r="E305" i="1" s="1"/>
  <c r="H299" i="1"/>
  <c r="D299" i="1"/>
  <c r="E299" i="1" s="1"/>
  <c r="H293" i="1"/>
  <c r="G237" i="1"/>
  <c r="H231" i="1"/>
  <c r="D231" i="1"/>
  <c r="H213" i="1"/>
  <c r="E157" i="1"/>
  <c r="G157" i="1" s="1"/>
  <c r="G105" i="1"/>
  <c r="G63" i="1"/>
  <c r="D286" i="1"/>
  <c r="E286" i="1" s="1"/>
  <c r="G286" i="1" s="1"/>
  <c r="H107" i="1"/>
  <c r="E107" i="1"/>
  <c r="D107" i="1"/>
  <c r="H173" i="1"/>
  <c r="D173" i="1"/>
  <c r="D381" i="1"/>
  <c r="E381" i="1" s="1"/>
  <c r="G381" i="1" s="1"/>
  <c r="D246" i="1"/>
  <c r="H312" i="1"/>
  <c r="D312" i="1"/>
  <c r="E312" i="1" s="1"/>
  <c r="D172" i="1"/>
  <c r="E172" i="1" s="1"/>
  <c r="G172" i="1" s="1"/>
  <c r="C29" i="1"/>
  <c r="G312" i="1" l="1"/>
  <c r="G305" i="1"/>
  <c r="D111" i="1"/>
  <c r="E111" i="1" s="1"/>
  <c r="G111" i="1" s="1"/>
  <c r="H95" i="1"/>
  <c r="D79" i="1"/>
  <c r="E79" i="1" s="1"/>
  <c r="G79" i="1" s="1"/>
  <c r="D38" i="1"/>
  <c r="E38" i="1" s="1"/>
  <c r="G38" i="1" s="1"/>
  <c r="D13" i="1"/>
  <c r="E13" i="1" s="1"/>
  <c r="G13" i="1" s="1"/>
  <c r="D12" i="1"/>
  <c r="E12" i="1" s="1"/>
  <c r="G12" i="1" s="1"/>
  <c r="D433" i="1" l="1"/>
  <c r="G433" i="1"/>
  <c r="D430" i="1"/>
  <c r="G428" i="1"/>
  <c r="D428" i="1"/>
  <c r="D417" i="1"/>
  <c r="D409" i="1"/>
  <c r="D401" i="1"/>
  <c r="E401" i="1" s="1"/>
  <c r="G401" i="1" s="1"/>
  <c r="D397" i="1"/>
  <c r="E397" i="1" s="1"/>
  <c r="G397" i="1" s="1"/>
  <c r="D395" i="1"/>
  <c r="E395" i="1" s="1"/>
  <c r="G395" i="1" s="1"/>
  <c r="D382" i="1"/>
  <c r="E378" i="1"/>
  <c r="G378" i="1" s="1"/>
  <c r="D377" i="1"/>
  <c r="E377" i="1" s="1"/>
  <c r="G377" i="1" s="1"/>
  <c r="D363" i="1"/>
  <c r="E363" i="1" s="1"/>
  <c r="G363" i="1" s="1"/>
  <c r="D361" i="1"/>
  <c r="E361" i="1" s="1"/>
  <c r="G361" i="1" s="1"/>
  <c r="D351" i="1"/>
  <c r="D353" i="1"/>
  <c r="G338" i="1"/>
  <c r="E335" i="1"/>
  <c r="G335" i="1" s="1"/>
  <c r="E331" i="1"/>
  <c r="G331" i="1" s="1"/>
  <c r="H311" i="1"/>
  <c r="E306" i="1"/>
  <c r="E302" i="1"/>
  <c r="G302" i="1" s="1"/>
  <c r="E300" i="1"/>
  <c r="G300" i="1" s="1"/>
  <c r="E298" i="1"/>
  <c r="G298" i="1" s="1"/>
  <c r="E297" i="1"/>
  <c r="G297" i="1" s="1"/>
  <c r="E283" i="1"/>
  <c r="G283" i="1" s="1"/>
  <c r="D265" i="1"/>
  <c r="G248" i="1"/>
  <c r="E230" i="1"/>
  <c r="G230" i="1" s="1"/>
  <c r="D227" i="1"/>
  <c r="E211" i="1"/>
  <c r="G211" i="1" s="1"/>
  <c r="E201" i="1"/>
  <c r="G201" i="1" s="1"/>
  <c r="D193" i="1"/>
  <c r="H193" i="1"/>
  <c r="D145" i="1"/>
  <c r="G145" i="1"/>
  <c r="G129" i="1"/>
  <c r="E382" i="1" l="1"/>
  <c r="G382" i="1" s="1"/>
  <c r="G306" i="1"/>
  <c r="G193" i="1"/>
  <c r="D114" i="1"/>
  <c r="D101" i="1"/>
  <c r="G96" i="1"/>
  <c r="E82" i="1"/>
  <c r="G82" i="1" s="1"/>
  <c r="E75" i="1"/>
  <c r="G75" i="1" s="1"/>
  <c r="D72" i="1"/>
  <c r="G72" i="1"/>
  <c r="D58" i="1"/>
  <c r="G50" i="1"/>
  <c r="G48" i="1"/>
  <c r="G8" i="1"/>
  <c r="D89" i="1" l="1"/>
  <c r="D412" i="1"/>
  <c r="D365" i="1" l="1"/>
  <c r="D290" i="1" l="1"/>
  <c r="D284" i="1"/>
  <c r="D307" i="1"/>
  <c r="D272" i="1"/>
  <c r="D309" i="1"/>
  <c r="D22" i="1"/>
  <c r="D379" i="1"/>
  <c r="D21" i="1"/>
  <c r="H359" i="1" l="1"/>
  <c r="D416" i="1" l="1"/>
  <c r="D357" i="1"/>
  <c r="D37" i="1"/>
  <c r="D197" i="1"/>
  <c r="E197" i="1" s="1"/>
  <c r="G197" i="1" s="1"/>
  <c r="D10" i="1" l="1"/>
  <c r="D425" i="1"/>
  <c r="D398" i="1"/>
  <c r="D373" i="1"/>
  <c r="D152" i="1"/>
  <c r="D199" i="1"/>
  <c r="D296" i="1"/>
  <c r="D166" i="1" l="1"/>
  <c r="D390" i="1"/>
  <c r="D310" i="1"/>
  <c r="D311" i="1"/>
  <c r="D396" i="1"/>
  <c r="D262" i="1"/>
  <c r="D183" i="1"/>
  <c r="D368" i="1"/>
  <c r="D178" i="1"/>
  <c r="D36" i="1"/>
  <c r="D259" i="1"/>
  <c r="D252" i="1"/>
  <c r="D441" i="1"/>
  <c r="E441" i="1" s="1"/>
  <c r="D76" i="1"/>
  <c r="D407" i="1"/>
  <c r="D62" i="1"/>
  <c r="D408" i="1"/>
  <c r="D5" i="1"/>
  <c r="D179" i="1"/>
  <c r="D239" i="1"/>
  <c r="D95" i="1"/>
  <c r="D420" i="1"/>
  <c r="D402" i="1"/>
  <c r="D308" i="1"/>
  <c r="D304" i="1"/>
  <c r="D140" i="1"/>
  <c r="D170" i="1"/>
  <c r="D234" i="1"/>
  <c r="D385" i="1"/>
  <c r="D399" i="1"/>
  <c r="D226" i="1"/>
  <c r="D223" i="1"/>
  <c r="D320" i="1"/>
  <c r="D346" i="1"/>
  <c r="D240" i="1"/>
  <c r="D275" i="1"/>
  <c r="D317" i="1"/>
  <c r="D139" i="1"/>
  <c r="D16" i="1"/>
  <c r="D383" i="1"/>
  <c r="D325" i="1"/>
  <c r="D241" i="1"/>
  <c r="D293" i="1"/>
  <c r="D46" i="1"/>
  <c r="E46" i="1" s="1"/>
  <c r="G46" i="1" s="1"/>
  <c r="D119" i="1"/>
  <c r="D11" i="1"/>
  <c r="D220" i="1"/>
  <c r="D400" i="1"/>
  <c r="D235" i="1"/>
  <c r="D391" i="1"/>
  <c r="H348" i="1"/>
  <c r="D348" i="1"/>
  <c r="E43" i="1" l="1"/>
  <c r="G43" i="1" s="1"/>
  <c r="E91" i="1" l="1"/>
  <c r="G90" i="1" s="1"/>
  <c r="D273" i="1" l="1"/>
  <c r="G273" i="1" s="1"/>
  <c r="D195" i="1"/>
  <c r="G227" i="1"/>
  <c r="D359" i="1" l="1"/>
  <c r="H386" i="1"/>
  <c r="D386" i="1"/>
  <c r="D85" i="1"/>
  <c r="E85" i="1" s="1"/>
  <c r="G85" i="1" s="1"/>
  <c r="E94" i="1"/>
  <c r="H269" i="1"/>
  <c r="G269" i="1" s="1"/>
  <c r="D269" i="1"/>
  <c r="H437" i="1"/>
  <c r="E438" i="1"/>
  <c r="D437" i="1"/>
  <c r="D256" i="1" l="1"/>
  <c r="E234" i="1" l="1"/>
  <c r="G234" i="1" s="1"/>
  <c r="D277" i="1"/>
  <c r="D232" i="1"/>
  <c r="D129" i="1"/>
  <c r="D426" i="1"/>
  <c r="D315" i="1"/>
  <c r="D25" i="1" l="1"/>
  <c r="E311" i="1" l="1"/>
  <c r="E57" i="1"/>
  <c r="H313" i="1" l="1"/>
  <c r="D313" i="1"/>
  <c r="E32" i="1"/>
  <c r="G32" i="1" s="1"/>
  <c r="H366" i="1"/>
  <c r="D366" i="1"/>
  <c r="D186" i="1"/>
  <c r="D321" i="1"/>
  <c r="E235" i="1" l="1"/>
  <c r="G235" i="1" s="1"/>
  <c r="E18" i="1" l="1"/>
  <c r="D141" i="1" l="1"/>
  <c r="E141" i="1" s="1"/>
  <c r="G141" i="1" s="1"/>
  <c r="H279" i="1"/>
  <c r="D279" i="1"/>
  <c r="E261" i="1" l="1"/>
  <c r="D149" i="1"/>
  <c r="D41" i="1" l="1"/>
  <c r="H25" i="1" l="1"/>
  <c r="G25" i="1" s="1"/>
  <c r="D213" i="1" l="1"/>
  <c r="D253" i="1" l="1"/>
  <c r="G121" i="1"/>
  <c r="E391" i="1" l="1"/>
  <c r="G391" i="1" s="1"/>
  <c r="D39" i="1" l="1"/>
  <c r="H423" i="1" l="1"/>
  <c r="D423" i="1"/>
  <c r="D98" i="1" l="1"/>
  <c r="E98" i="1" s="1"/>
  <c r="G98" i="1" l="1"/>
  <c r="G180" i="1" l="1"/>
  <c r="E398" i="1" l="1"/>
  <c r="G398" i="1" s="1"/>
  <c r="E179" i="1"/>
  <c r="G179" i="1" s="1"/>
  <c r="E117" i="1"/>
  <c r="G116" i="1" s="1"/>
  <c r="H127" i="1" l="1"/>
  <c r="D127" i="1"/>
  <c r="D125" i="1"/>
  <c r="G125" i="1" s="1"/>
  <c r="G107" i="1" l="1"/>
  <c r="D133" i="1"/>
  <c r="G133" i="1" s="1"/>
  <c r="E309" i="1" l="1"/>
  <c r="G309" i="1" s="1"/>
  <c r="E267" i="1"/>
  <c r="G267" i="1" l="1"/>
  <c r="H39" i="1"/>
  <c r="G39" i="1" l="1"/>
  <c r="G279" i="1"/>
  <c r="E366" i="1"/>
  <c r="G366" i="1" s="1"/>
  <c r="E393" i="1" l="1"/>
  <c r="G392" i="1" s="1"/>
  <c r="D439" i="1" l="1"/>
  <c r="G439" i="1" s="1"/>
  <c r="D131" i="1"/>
  <c r="H256" i="1" l="1"/>
  <c r="D142" i="1"/>
  <c r="G142" i="1" s="1"/>
  <c r="E144" i="1" l="1"/>
  <c r="D105" i="1" l="1"/>
  <c r="G340" i="1" l="1"/>
  <c r="E119" i="1" l="1"/>
  <c r="G119" i="1" s="1"/>
  <c r="G386" i="1"/>
  <c r="E400" i="1" l="1"/>
  <c r="G400" i="1" s="1"/>
  <c r="G101" i="1"/>
  <c r="E185" i="1" l="1"/>
  <c r="E76" i="1" l="1"/>
  <c r="G76" i="1" s="1"/>
  <c r="D162" i="1" l="1"/>
  <c r="E162" i="1" s="1"/>
  <c r="G162" i="1" s="1"/>
  <c r="H353" i="1" l="1"/>
  <c r="E88" i="1" l="1"/>
  <c r="G88" i="1" s="1"/>
  <c r="G27" i="1" l="1"/>
  <c r="E357" i="1" l="1"/>
  <c r="E412" i="1"/>
  <c r="G353" i="1"/>
  <c r="G412" i="1" l="1"/>
  <c r="G357" i="1"/>
  <c r="D6" i="1"/>
  <c r="G127" i="1" l="1"/>
  <c r="E208" i="1"/>
  <c r="D174" i="1" l="1"/>
  <c r="G359" i="1"/>
  <c r="E89" i="1"/>
  <c r="G89" i="1" s="1"/>
  <c r="D421" i="1" l="1"/>
  <c r="G421" i="1" s="1"/>
  <c r="E320" i="1"/>
  <c r="E332" i="1"/>
  <c r="G332" i="1" s="1"/>
  <c r="G131" i="1"/>
  <c r="E190" i="1"/>
  <c r="G409" i="1" l="1"/>
  <c r="G320" i="1"/>
  <c r="G190" i="1"/>
  <c r="E272" i="1" l="1"/>
  <c r="G272" i="1" l="1"/>
  <c r="G6" i="1"/>
  <c r="E402" i="1" l="1"/>
  <c r="G402" i="1" s="1"/>
  <c r="H317" i="1" l="1"/>
  <c r="G317" i="1" s="1"/>
  <c r="G417" i="1" l="1"/>
  <c r="G348" i="1" l="1"/>
  <c r="E385" i="1"/>
  <c r="G385" i="1" s="1"/>
  <c r="E374" i="1"/>
  <c r="G199" i="1"/>
  <c r="G374" i="1" l="1"/>
  <c r="G195" i="1"/>
  <c r="E282" i="1" l="1"/>
  <c r="G282" i="1" s="1"/>
  <c r="G149" i="1" l="1"/>
  <c r="G253" i="1"/>
  <c r="G351" i="1" l="1"/>
  <c r="E83" i="1" l="1"/>
  <c r="E221" i="1"/>
  <c r="G83" i="1" l="1"/>
  <c r="D29" i="1"/>
  <c r="E342" i="1" l="1"/>
  <c r="G29" i="1" l="1"/>
  <c r="E323" i="1" l="1"/>
  <c r="E242" i="1"/>
  <c r="G242" i="1" s="1"/>
  <c r="H321" i="1"/>
  <c r="E62" i="1"/>
  <c r="G62" i="1" s="1"/>
  <c r="E315" i="1"/>
  <c r="G315" i="1" s="1"/>
  <c r="E345" i="1"/>
  <c r="G345" i="1" s="1"/>
  <c r="E21" i="1" l="1"/>
  <c r="G21" i="1" s="1"/>
  <c r="E173" i="1"/>
  <c r="G173" i="1" s="1"/>
  <c r="G68" i="1" l="1"/>
  <c r="E4" i="1" l="1"/>
  <c r="E170" i="1"/>
  <c r="G170" i="1" s="1"/>
  <c r="E220" i="1"/>
  <c r="G220" i="1" s="1"/>
  <c r="E408" i="1" l="1"/>
  <c r="G408" i="1" s="1"/>
  <c r="G426" i="1" l="1"/>
  <c r="E407" i="1"/>
  <c r="E36" i="1"/>
  <c r="G36" i="1" s="1"/>
  <c r="E22" i="1"/>
  <c r="G22" i="1" l="1"/>
  <c r="G407" i="1"/>
  <c r="E288" i="1" l="1"/>
  <c r="G288" i="1" s="1"/>
  <c r="E368" i="1"/>
  <c r="G368" i="1" s="1"/>
  <c r="E259" i="1"/>
  <c r="G259" i="1" s="1"/>
  <c r="E303" i="1"/>
  <c r="G303" i="1" s="1"/>
  <c r="E37" i="1"/>
  <c r="G37" i="1" s="1"/>
  <c r="E95" i="1" l="1"/>
  <c r="G95" i="1" s="1"/>
  <c r="E239" i="1"/>
  <c r="G239" i="1" s="1"/>
  <c r="G232" i="1" l="1"/>
  <c r="E226" i="1"/>
  <c r="G226" i="1" s="1"/>
  <c r="G41" i="1"/>
  <c r="E406" i="1" l="1"/>
  <c r="G430" i="1" l="1"/>
  <c r="G109" i="1" l="1"/>
  <c r="E383" i="1" l="1"/>
  <c r="G383" i="1" s="1"/>
  <c r="E365" i="1" l="1"/>
  <c r="G365" i="1" s="1"/>
  <c r="E11" i="1"/>
  <c r="G11" i="1" s="1"/>
  <c r="E139" i="1"/>
  <c r="G139" i="1" s="1"/>
  <c r="E164" i="1"/>
  <c r="G164" i="1" s="1"/>
  <c r="E262" i="1" l="1"/>
  <c r="G262" i="1" s="1"/>
  <c r="H191" i="1" l="1"/>
  <c r="D191" i="1"/>
  <c r="E231" i="1" l="1"/>
  <c r="G231" i="1" s="1"/>
  <c r="E70" i="1" l="1"/>
  <c r="G423" i="1" l="1"/>
  <c r="G191" i="1" l="1"/>
  <c r="G277" i="1" l="1"/>
  <c r="G313" i="1"/>
  <c r="D148" i="1"/>
  <c r="E425" i="1"/>
  <c r="G425" i="1" s="1"/>
  <c r="E140" i="1"/>
  <c r="E290" i="1" l="1"/>
  <c r="E325" i="1"/>
  <c r="G325" i="1" s="1"/>
  <c r="E293" i="1"/>
  <c r="G293" i="1" s="1"/>
  <c r="G290" i="1" l="1"/>
  <c r="E334" i="1"/>
  <c r="G334" i="1" s="1"/>
  <c r="E399" i="1" l="1"/>
  <c r="G399" i="1" s="1"/>
  <c r="G213" i="1" l="1"/>
  <c r="E284" i="1" l="1"/>
  <c r="G284" i="1" s="1"/>
  <c r="E416" i="1" l="1"/>
  <c r="E319" i="1"/>
  <c r="E166" i="1"/>
  <c r="G319" i="1" l="1"/>
  <c r="G166" i="1"/>
  <c r="E420" i="1" l="1"/>
  <c r="G420" i="1" s="1"/>
  <c r="H186" i="1" l="1"/>
  <c r="E396" i="1"/>
  <c r="G396" i="1" s="1"/>
  <c r="E337" i="1" l="1"/>
  <c r="E252" i="1" l="1"/>
  <c r="G252" i="1" s="1"/>
  <c r="E16" i="1" l="1"/>
  <c r="G16" i="1" s="1"/>
  <c r="G158" i="1" l="1"/>
  <c r="E151" i="1" l="1"/>
  <c r="E296" i="1"/>
  <c r="G296" i="1" s="1"/>
  <c r="G416" i="1" l="1"/>
  <c r="E240" i="1"/>
  <c r="G240" i="1" s="1"/>
  <c r="E308" i="1" l="1"/>
  <c r="G308" i="1" s="1"/>
  <c r="E390" i="1" l="1"/>
  <c r="G390" i="1" s="1"/>
  <c r="E304" i="1" l="1"/>
  <c r="G304" i="1" s="1"/>
  <c r="E246" i="1"/>
  <c r="E223" i="1"/>
  <c r="G223" i="1" s="1"/>
  <c r="D392" i="1" l="1"/>
  <c r="E5" i="1"/>
  <c r="G5" i="1" s="1"/>
  <c r="D168" i="1" l="1"/>
  <c r="G168" i="1" s="1"/>
  <c r="E241" i="1"/>
  <c r="G241" i="1" s="1"/>
  <c r="E183" i="1" l="1"/>
  <c r="G183" i="1" s="1"/>
  <c r="E373" i="1" l="1"/>
  <c r="G373" i="1" s="1"/>
  <c r="E307" i="1"/>
  <c r="E271" i="1" l="1"/>
  <c r="D442" i="1" l="1"/>
  <c r="E10" i="1"/>
  <c r="G10" i="1" s="1"/>
  <c r="E20" i="1"/>
  <c r="G20" i="1" s="1"/>
  <c r="E31" i="1"/>
  <c r="G31" i="1" s="1"/>
  <c r="E33" i="1"/>
  <c r="G33" i="1" s="1"/>
  <c r="E66" i="1"/>
  <c r="G66" i="1" s="1"/>
  <c r="E77" i="1"/>
  <c r="G77" i="1" s="1"/>
  <c r="E93" i="1"/>
  <c r="E100" i="1"/>
  <c r="G100" i="1" s="1"/>
  <c r="E103" i="1"/>
  <c r="G114" i="1"/>
  <c r="E123" i="1"/>
  <c r="G140" i="1"/>
  <c r="E147" i="1"/>
  <c r="E148" i="1"/>
  <c r="E152" i="1"/>
  <c r="G152" i="1" s="1"/>
  <c r="E174" i="1"/>
  <c r="E178" i="1"/>
  <c r="G178" i="1" s="1"/>
  <c r="E182" i="1"/>
  <c r="G186" i="1"/>
  <c r="E207" i="1"/>
  <c r="E209" i="1"/>
  <c r="G209" i="1" s="1"/>
  <c r="E247" i="1"/>
  <c r="G247" i="1" s="1"/>
  <c r="G256" i="1"/>
  <c r="G261" i="1"/>
  <c r="E264" i="1"/>
  <c r="G265" i="1"/>
  <c r="E275" i="1"/>
  <c r="G275" i="1" s="1"/>
  <c r="E276" i="1"/>
  <c r="E301" i="1"/>
  <c r="E310" i="1"/>
  <c r="G310" i="1" s="1"/>
  <c r="G311" i="1"/>
  <c r="G321" i="1"/>
  <c r="E324" i="1"/>
  <c r="E336" i="1"/>
  <c r="G336" i="1" s="1"/>
  <c r="E344" i="1"/>
  <c r="G344" i="1" s="1"/>
  <c r="E346" i="1"/>
  <c r="G346" i="1" s="1"/>
  <c r="E379" i="1"/>
  <c r="G379" i="1" s="1"/>
  <c r="E388" i="1"/>
  <c r="E414" i="1"/>
  <c r="E415" i="1"/>
  <c r="C442" i="1"/>
  <c r="G337" i="1"/>
  <c r="G442" i="1" l="1"/>
</calcChain>
</file>

<file path=xl/sharedStrings.xml><?xml version="1.0" encoding="utf-8"?>
<sst xmlns="http://schemas.openxmlformats.org/spreadsheetml/2006/main" count="493" uniqueCount="389">
  <si>
    <t>№ п/пп</t>
  </si>
  <si>
    <t>ФАМИЛИЯ, ИМЯ, ОТЧЕСТВО</t>
  </si>
  <si>
    <t>Показания эл. счетчиков кВт.ч</t>
  </si>
  <si>
    <t>Разница, кВт.ч</t>
  </si>
  <si>
    <t>Стоимость поставляемой электроэнергии (руб.)</t>
  </si>
  <si>
    <t>Левшин Виктор Иванович</t>
  </si>
  <si>
    <t>Егоров Михаил Николаевич</t>
  </si>
  <si>
    <t>поставлен в график на отключение</t>
  </si>
  <si>
    <t>Сусарова Анна Залмановна</t>
  </si>
  <si>
    <t>Дараселия Людмила Пименовна</t>
  </si>
  <si>
    <t>Киселева Наталья Александровна</t>
  </si>
  <si>
    <t>Рослякова Карина Владимировна</t>
  </si>
  <si>
    <t>Булгаков Владимир Иванович</t>
  </si>
  <si>
    <t>Громова Наталья Константиновна</t>
  </si>
  <si>
    <t>Курносова Ольга Борисовна</t>
  </si>
  <si>
    <t>Каширова Галина Алексеевна</t>
  </si>
  <si>
    <t>Заброшен</t>
  </si>
  <si>
    <t>Милехин Юрий Владимирович</t>
  </si>
  <si>
    <t>Пороховов Алексей Анатольевич</t>
  </si>
  <si>
    <t>Смирнова Елена Вадимовна</t>
  </si>
  <si>
    <t>Горохова Любовь Ивановна</t>
  </si>
  <si>
    <t>Пичугина Алла Михайловна</t>
  </si>
  <si>
    <t>Гусакович Александр Степанович</t>
  </si>
  <si>
    <t>Веселов Геннадий Николаевич</t>
  </si>
  <si>
    <t>Василенко Оксана Владиславовна</t>
  </si>
  <si>
    <t>Марченко Николай Михайлович</t>
  </si>
  <si>
    <t>Мгалобишвили Нина Александровна</t>
  </si>
  <si>
    <t>Разумцова Софья Рафаэльевна</t>
  </si>
  <si>
    <t>Полищук Роман Павлович</t>
  </si>
  <si>
    <t>Сабурова Надежда Александровна</t>
  </si>
  <si>
    <t>Суровкина Галина Ивановна</t>
  </si>
  <si>
    <t>Козлова Мария Матвеевна</t>
  </si>
  <si>
    <t>Шакурова Ирина Евгеньевна</t>
  </si>
  <si>
    <t>Мещерякова Людмила Тимофеевна</t>
  </si>
  <si>
    <t>Иванов Юрий Андреевич</t>
  </si>
  <si>
    <t>установлен 1 счетчик на участки № 38, 56</t>
  </si>
  <si>
    <t>Сидоров Игорь Петрович</t>
  </si>
  <si>
    <t>Кудзелько Светлана Николаевна</t>
  </si>
  <si>
    <t>Корнеева Марина Ивановна</t>
  </si>
  <si>
    <t>Игнатьева Светлана Владимировна</t>
  </si>
  <si>
    <t>Игнатьев Виктор Петрович</t>
  </si>
  <si>
    <t>Сажин Александр Сергеевич</t>
  </si>
  <si>
    <t>Балаева Светлан Васильевна</t>
  </si>
  <si>
    <t>замена счетчика 24.07.2021</t>
  </si>
  <si>
    <t>Артемкина Ольга Макаровна</t>
  </si>
  <si>
    <t>Полухин Алексей Евгеньевич</t>
  </si>
  <si>
    <t>Бегинин Иван Прокофьевич</t>
  </si>
  <si>
    <t>Лепетюха Татьяна Васильевна</t>
  </si>
  <si>
    <t>Бахтиярова Тамара Юрьевна</t>
  </si>
  <si>
    <t>Юмкина Ольга Александровна</t>
  </si>
  <si>
    <t>Тимошина Юлия Игоревна</t>
  </si>
  <si>
    <t>Красивская Алия Тагировна</t>
  </si>
  <si>
    <t>Черницын Вячеслав Николаевич</t>
  </si>
  <si>
    <t>Малышева Марина Николаевна</t>
  </si>
  <si>
    <t>Иванов Андрей Викторович</t>
  </si>
  <si>
    <t>Леонтьев Михаил Иванович</t>
  </si>
  <si>
    <t>Смирнов Денис Михайлович</t>
  </si>
  <si>
    <t>Кулаева Лидия Константиновна</t>
  </si>
  <si>
    <t>Герасимова Светлана Алексеевна</t>
  </si>
  <si>
    <t>Поротикова Елена Александровна</t>
  </si>
  <si>
    <t>Поротиков Владислав Александрович</t>
  </si>
  <si>
    <t>Устимов Юрий Владимирович</t>
  </si>
  <si>
    <t>Шпак Валентина Петровна</t>
  </si>
  <si>
    <t>Каменский Григорий Михайлович</t>
  </si>
  <si>
    <t>Лифаненков Юрий Алексеевич</t>
  </si>
  <si>
    <t>Комаров Валерий Нефедович</t>
  </si>
  <si>
    <t>Пронина Мария Николаевна</t>
  </si>
  <si>
    <t>Шупп Виктория Викторовна</t>
  </si>
  <si>
    <t>Пенюшин Андрей Васильевич</t>
  </si>
  <si>
    <t>Назаров Юрий Викторович</t>
  </si>
  <si>
    <t>Юшенков Юрий Алексеевич/  Юшенкова Ольга Алексеевна</t>
  </si>
  <si>
    <t>Седых Мария Михайловна</t>
  </si>
  <si>
    <t>Байкова Ольга Михайловна</t>
  </si>
  <si>
    <t>Завьялова Ольга Игоревна</t>
  </si>
  <si>
    <t>электроэнергия не подключена, счетчик не установлен</t>
  </si>
  <si>
    <t>Минайкина Татьяна Ивановна</t>
  </si>
  <si>
    <t>Игнатьев Илья Владимирович</t>
  </si>
  <si>
    <t>Выжевская Тамара Александровна</t>
  </si>
  <si>
    <t>Кузьмина Маргарита Александровна</t>
  </si>
  <si>
    <t>Гасилов Алексей Евгеньевич</t>
  </si>
  <si>
    <t>Боева Татьяна Трофимовна</t>
  </si>
  <si>
    <t>Петрова Татьяна Евгеньевна</t>
  </si>
  <si>
    <t>Фридман Виктор Михайлович</t>
  </si>
  <si>
    <t>Статуева Людмила Дмитриевна</t>
  </si>
  <si>
    <t>Кобылянский Владимир Анатольевич</t>
  </si>
  <si>
    <t>Меньшикова Ольга Олеговна</t>
  </si>
  <si>
    <t>Слемзин Николай Николаевич</t>
  </si>
  <si>
    <t>Сырмолотова Елена Александровна</t>
  </si>
  <si>
    <t>Савостьянова Елена Владимировна</t>
  </si>
  <si>
    <t>Таланов Владимир Александрович</t>
  </si>
  <si>
    <t>Овинова Нина Ивановна</t>
  </si>
  <si>
    <t>Сидоров Николай Дмитриевич</t>
  </si>
  <si>
    <t>Новиков Владимир Николаевич</t>
  </si>
  <si>
    <t>Колесникова Наталья Вячеславовна</t>
  </si>
  <si>
    <t>Ефремова Зоя Тимофеевна</t>
  </si>
  <si>
    <t>Мазурец Татьяна Владимировна</t>
  </si>
  <si>
    <t>Ильинов Михаил Маркович</t>
  </si>
  <si>
    <t>Фоменков Сергей Владимирович</t>
  </si>
  <si>
    <t>Ермолаева Елена Юрьевна</t>
  </si>
  <si>
    <t>Галушина Раиса Викторовна</t>
  </si>
  <si>
    <t>Воробьев Алексей Алексеевич</t>
  </si>
  <si>
    <t>Мокраусова Елена Алексеевна</t>
  </si>
  <si>
    <t>Селиванова Антонина Федоровна</t>
  </si>
  <si>
    <t>Маркова Мария Дмитриевна</t>
  </si>
  <si>
    <t>Тимофеев Алексей Викторович</t>
  </si>
  <si>
    <t>Губанов Дмитрий Александрович</t>
  </si>
  <si>
    <t>Голубев Владимир Анатольевич</t>
  </si>
  <si>
    <t>Школин Юрий Владиславович</t>
  </si>
  <si>
    <t>Яковлев Александр Владимирович</t>
  </si>
  <si>
    <t>Гусарова Наталья Сергеевна</t>
  </si>
  <si>
    <t>Новикова Ирина Ивановна</t>
  </si>
  <si>
    <t>Бабурина Ольга Петровна</t>
  </si>
  <si>
    <t>Новиков Валерий Николаевич</t>
  </si>
  <si>
    <t>Сычев Андрей Анатольевич</t>
  </si>
  <si>
    <t>Воронина Александра Дмитриевна</t>
  </si>
  <si>
    <t>Кузнецова Галина Михайловна</t>
  </si>
  <si>
    <t>Шпак Мария Сергеевна</t>
  </si>
  <si>
    <t>Журомский Михаил Всеволодович</t>
  </si>
  <si>
    <t>Тарасов Николай Георгиевич</t>
  </si>
  <si>
    <t>Васильева Ольга Дмитриевна</t>
  </si>
  <si>
    <t>Смирнов Михаил Викторович</t>
  </si>
  <si>
    <t>заброшен</t>
  </si>
  <si>
    <t>Полонская Тамара Юльяновна</t>
  </si>
  <si>
    <t>Митасева Галина Дмитриевна</t>
  </si>
  <si>
    <t>Безвесильный Сергей Николаевич</t>
  </si>
  <si>
    <t>Петрова Валентина Александровна</t>
  </si>
  <si>
    <t>Соловьев Юрий Михайлович</t>
  </si>
  <si>
    <t>Евсеева Людмила Анатольевна</t>
  </si>
  <si>
    <t>Курмаева Ирина Алексеевна</t>
  </si>
  <si>
    <t>Ивкин Александр Павлович</t>
  </si>
  <si>
    <t>Казеева Ляйла Анасовна</t>
  </si>
  <si>
    <t>Мильруд Надежда Геннадиевна</t>
  </si>
  <si>
    <t>Объедкова Светлана Павловна/ Объедков Михаил Васильевич</t>
  </si>
  <si>
    <t>Комбасова Наталья Владимировна</t>
  </si>
  <si>
    <t>Воронин Александр Васильевич</t>
  </si>
  <si>
    <t>Торшина Татьяна Васильевна</t>
  </si>
  <si>
    <t>Суслов Виктор Григорьевич</t>
  </si>
  <si>
    <t>Чебурков Александр Евгеньевич</t>
  </si>
  <si>
    <t>Розанов Юрий Владимирович</t>
  </si>
  <si>
    <t>установлен 1 счетчик на участки № 161, 162</t>
  </si>
  <si>
    <t>Валов Алексей Васильевич</t>
  </si>
  <si>
    <t>Томашевская Оксана Алексеевна</t>
  </si>
  <si>
    <t>Беляков Сергей Петрович</t>
  </si>
  <si>
    <t>Дарькина Наталья Анатольевна</t>
  </si>
  <si>
    <t>Кузьмичева Любовь Александровна</t>
  </si>
  <si>
    <t>Еремина Ольга Владимировна</t>
  </si>
  <si>
    <t>Дмитриева Надежда Васильевна</t>
  </si>
  <si>
    <t>установлен 1 счетчик на участки № 171, 172</t>
  </si>
  <si>
    <t>Кирюшин Анатолий Иванович</t>
  </si>
  <si>
    <t>Студеникин Юрий Иванович</t>
  </si>
  <si>
    <t>Калмакова Татьяна Владимировна</t>
  </si>
  <si>
    <t>Кулагин Юрий Михайлович</t>
  </si>
  <si>
    <t>Ершова Наталия Владимировна</t>
  </si>
  <si>
    <t>Жирнова Нина Михайловна</t>
  </si>
  <si>
    <t>Панкратенко Валентина Леонидовна</t>
  </si>
  <si>
    <t>Ильина Людмила Федоровна</t>
  </si>
  <si>
    <t>Калайтан Вера Михайловна</t>
  </si>
  <si>
    <t>Жуков Сергей Евгеньевич</t>
  </si>
  <si>
    <t>Кожевников Евгений Александрович</t>
  </si>
  <si>
    <t>Порутчиков Алексей Николаевич</t>
  </si>
  <si>
    <t>Свинцова Надежда Тимофеевна</t>
  </si>
  <si>
    <t>Гришина Елена Викторовна</t>
  </si>
  <si>
    <t>Юнин Владимир Сергеевич</t>
  </si>
  <si>
    <t>Умнягин Вячеслав Викторович</t>
  </si>
  <si>
    <t>Арташева Зоя Викторовна</t>
  </si>
  <si>
    <t>Солоненков Сергей Викторович</t>
  </si>
  <si>
    <t>Смирнова Вероника Анатольевна</t>
  </si>
  <si>
    <t>Ковыршина Наталья Михайловна</t>
  </si>
  <si>
    <t>Яганычев Сергей Анатольевич</t>
  </si>
  <si>
    <t>Гура Иван Валерьевич</t>
  </si>
  <si>
    <t>Речкина Наталья Николаевна</t>
  </si>
  <si>
    <t>Пименова Валентина Ивановна</t>
  </si>
  <si>
    <t>Суверина Светлана Васильевна</t>
  </si>
  <si>
    <t>Слученкова Валентина Кирилловна</t>
  </si>
  <si>
    <t>Ниякий Наталья Станиславовна</t>
  </si>
  <si>
    <t>Ларионов Николай Борисович</t>
  </si>
  <si>
    <t>Лыков Виктор Иванович</t>
  </si>
  <si>
    <t>установлен 1 счетчик на участки № 197, 209</t>
  </si>
  <si>
    <t>Тарасова Ирина Викторовна</t>
  </si>
  <si>
    <t>210а</t>
  </si>
  <si>
    <t>Сымарга Роман Александрович</t>
  </si>
  <si>
    <t>Поляков Евгений Вячеславович</t>
  </si>
  <si>
    <t>Ярков Константин Геннадьевич</t>
  </si>
  <si>
    <t>Болденкова Валентина Георгиевна</t>
  </si>
  <si>
    <t>Гуренко Наталья Владимировна</t>
  </si>
  <si>
    <t>Соболев Петр Николаевич</t>
  </si>
  <si>
    <t>Ярков Геннадий Алексеевич</t>
  </si>
  <si>
    <t>Графова Наталья Викторовна</t>
  </si>
  <si>
    <t>Тарасова Татьяна Михайловна</t>
  </si>
  <si>
    <t>Маркина Татьяна Анатольевна</t>
  </si>
  <si>
    <t>Мазур Марина Львовна</t>
  </si>
  <si>
    <t>установлен 1 счетчик на участки № 225, 226</t>
  </si>
  <si>
    <t>Лысенко Андрей Кимович</t>
  </si>
  <si>
    <t>Желобкова Вера Анатольевна</t>
  </si>
  <si>
    <t>Сергиенко Александр Викторович</t>
  </si>
  <si>
    <t>Зиновьева Нина Николаевна</t>
  </si>
  <si>
    <t>Демчук Наталья Ивановна</t>
  </si>
  <si>
    <t>Субботина Ольга Анатольевна</t>
  </si>
  <si>
    <t>Рогозенков Виктор Васильевич</t>
  </si>
  <si>
    <t>Напольнов Юрий Анатольевич</t>
  </si>
  <si>
    <t>Побоченко Елена Викторовна</t>
  </si>
  <si>
    <t>Шандрик Людмила Петровна</t>
  </si>
  <si>
    <t>Андреева Ирина Анатольевна</t>
  </si>
  <si>
    <t>Филиппов Валерий Александрович</t>
  </si>
  <si>
    <t>Бахматов Дмитрий Борисович</t>
  </si>
  <si>
    <t>Гороновская Дарья Александровна</t>
  </si>
  <si>
    <t>Ефимова Екатерина Николаевна</t>
  </si>
  <si>
    <t>Куликова Раиса Владимировна</t>
  </si>
  <si>
    <t>Линьков Игорь Николаевич</t>
  </si>
  <si>
    <t>Асташин Денис Сергеевич</t>
  </si>
  <si>
    <t>Юшкин Константин Васильевич</t>
  </si>
  <si>
    <t>Панина Татьяна Николаевна</t>
  </si>
  <si>
    <t>Кирина Валентина Николаевна</t>
  </si>
  <si>
    <t>Чилингаров Александр Рубенович</t>
  </si>
  <si>
    <t>Берсенев Олег Викторович</t>
  </si>
  <si>
    <t>Потапова Елена Геннадьевна</t>
  </si>
  <si>
    <t>Пономарева Юлия Олеговна</t>
  </si>
  <si>
    <t>Куликов Николай Владимирович</t>
  </si>
  <si>
    <t>Новохатняя Ирина Владимировна</t>
  </si>
  <si>
    <t>Захаров Александр Викторович</t>
  </si>
  <si>
    <t>Фадюхина Ольга Юрьевна</t>
  </si>
  <si>
    <t>Костина Елена Викторовна</t>
  </si>
  <si>
    <t>Михнюк Павел Степанович</t>
  </si>
  <si>
    <t>Симачкова Инесса Игоревна</t>
  </si>
  <si>
    <t>Тужилков Дмитрий Николаевич</t>
  </si>
  <si>
    <t>Белкина Любовь Ивановна</t>
  </si>
  <si>
    <t>Солодовникова Светлана Владимировна</t>
  </si>
  <si>
    <t>Чернухин Сергей Алексеевич</t>
  </si>
  <si>
    <t>Бабаков Алексей Владимирович</t>
  </si>
  <si>
    <t>Марусина Валентина Григорьевна</t>
  </si>
  <si>
    <t>Манихина Елена Евгеньевна</t>
  </si>
  <si>
    <t>Алятина Светлана Юрьевна</t>
  </si>
  <si>
    <t>Стольников Игорь Владимирович</t>
  </si>
  <si>
    <t>Алхимова Нина Алексеевна</t>
  </si>
  <si>
    <t>Шкурко Леонид Степанович</t>
  </si>
  <si>
    <t>новый счетчик 06.09.2021</t>
  </si>
  <si>
    <t>Смирнова Галина Тихоновна</t>
  </si>
  <si>
    <t>Сергеев Николай Константинович</t>
  </si>
  <si>
    <t>Грачев Дмитрий Андреевич</t>
  </si>
  <si>
    <t>Сержантова Элеонора Михайловна</t>
  </si>
  <si>
    <t>Артемова Виолетта Михайловна</t>
  </si>
  <si>
    <t>Губина Галина Константиновна</t>
  </si>
  <si>
    <t>Сатина Ирина Николаевна</t>
  </si>
  <si>
    <t>Бахмутов Е. Г.</t>
  </si>
  <si>
    <t>Глотова Ирина Марковна</t>
  </si>
  <si>
    <t>Щербинкина Светлана Викторовна</t>
  </si>
  <si>
    <t>Григорьев Михаил Борисович</t>
  </si>
  <si>
    <t>Волков Сергей Сергеевич</t>
  </si>
  <si>
    <t>Суслов Виктор Викторович</t>
  </si>
  <si>
    <t>Вепринцев Максим Сергеевич</t>
  </si>
  <si>
    <t>Стома Ирина Анатольевна</t>
  </si>
  <si>
    <t>Лобанова Татьяна Сергеевна</t>
  </si>
  <si>
    <t>Колосова Татьяна Ивановна</t>
  </si>
  <si>
    <t>Сельская Елена Николаевна</t>
  </si>
  <si>
    <t>Лаврухина Елена Викторовна</t>
  </si>
  <si>
    <t>Климов Анатолий Сергеевич</t>
  </si>
  <si>
    <t>Шамолова Наталья Валерьевна</t>
  </si>
  <si>
    <t>Крупенин Юрий Константинович</t>
  </si>
  <si>
    <t>Белянушкина Марина Владимировна</t>
  </si>
  <si>
    <t>Зернова Ирина Анатольевна</t>
  </si>
  <si>
    <t>Комарова Марина Михайловна</t>
  </si>
  <si>
    <t>Тищенко Иван Никитович</t>
  </si>
  <si>
    <t>Шкурко Алла Анатольевна</t>
  </si>
  <si>
    <t>Вартанян Лариса Викторовна</t>
  </si>
  <si>
    <t>Сержантова Алла Михайловна</t>
  </si>
  <si>
    <t>Синев Виктор Алексеевич</t>
  </si>
  <si>
    <t>Соловьев Владимир Петрович</t>
  </si>
  <si>
    <t>Ермакова Людмила Ивановна</t>
  </si>
  <si>
    <t>Лысенко Яков Кимович</t>
  </si>
  <si>
    <t>Невернова Виктория Владимировна</t>
  </si>
  <si>
    <t>Рулькова Галина Викторовна</t>
  </si>
  <si>
    <t>Рульков Владимир Викторович</t>
  </si>
  <si>
    <t>Кириллов Александр Алексеевич</t>
  </si>
  <si>
    <t>Мрост Андрей Юрьевич</t>
  </si>
  <si>
    <t>Волокитин Денис Геннадьевич</t>
  </si>
  <si>
    <t>новый счётчик 24.07.2021</t>
  </si>
  <si>
    <t>Стерликов Станислав Александрович</t>
  </si>
  <si>
    <t>Малькова Надежда Николаевна</t>
  </si>
  <si>
    <t>Руссу Юлия Викторовна</t>
  </si>
  <si>
    <t>Лопатин Юрий Владимирович</t>
  </si>
  <si>
    <t>Самочатова Галина Федоровна</t>
  </si>
  <si>
    <t>Крылосов Владимир Вениаминович</t>
  </si>
  <si>
    <t>Смирнова Вера Владимировна</t>
  </si>
  <si>
    <t>Пронин Владимир Юрьевич</t>
  </si>
  <si>
    <t>Бабаева Наталья Николаевна</t>
  </si>
  <si>
    <t>Борисов Александр Игоревич</t>
  </si>
  <si>
    <t>Щурина Людмила Михайловна</t>
  </si>
  <si>
    <t>Смирнова Любовь Сергеевна</t>
  </si>
  <si>
    <t>Агафонов Илья Владимирович</t>
  </si>
  <si>
    <t>Агафонов Владимир Ильич</t>
  </si>
  <si>
    <t>Засыпкина Лариса Борисовна</t>
  </si>
  <si>
    <t>Лебедев Валерий Николаевич</t>
  </si>
  <si>
    <t>ИТОГО:</t>
  </si>
  <si>
    <t>Прямой договор</t>
  </si>
  <si>
    <t>Смольников Иван Анатольевич</t>
  </si>
  <si>
    <t>Нестеров Олег Николаевич</t>
  </si>
  <si>
    <t xml:space="preserve">Богданова Галина Сергеевна </t>
  </si>
  <si>
    <t xml:space="preserve">Семенова Наталья Борисовна </t>
  </si>
  <si>
    <t>Меньшикова Алла Олеговна</t>
  </si>
  <si>
    <t xml:space="preserve">Шпилева Галина Владимировна </t>
  </si>
  <si>
    <t>Глагозин Алексей Викторович</t>
  </si>
  <si>
    <t>Шпилева Галина Владимировна</t>
  </si>
  <si>
    <t>Плосковитова Татьяна Николаевна/ Копылова Екатерина Андреевна</t>
  </si>
  <si>
    <t>Боброва Валентина Анатольевна</t>
  </si>
  <si>
    <t>Гуляева Наталья Владимировна</t>
  </si>
  <si>
    <t>Переплата за предыдущие периоды (руб.)</t>
  </si>
  <si>
    <t>Сумма к оплате с учетом переплаты (руб.)</t>
  </si>
  <si>
    <t>новый счетчик 12.06.2022</t>
  </si>
  <si>
    <t>Новый счетчик 12.06.2022</t>
  </si>
  <si>
    <t>Байдакова Юлия Алексеевна</t>
  </si>
  <si>
    <t>Бусаров Вадим Васильевич</t>
  </si>
  <si>
    <t xml:space="preserve">Дмитриева Екатерина Александровна </t>
  </si>
  <si>
    <t xml:space="preserve">Корягин Руслан Юрьевич </t>
  </si>
  <si>
    <t>Макаров Павел Алексеевич</t>
  </si>
  <si>
    <t>Капитонова Оксана Владимировна</t>
  </si>
  <si>
    <t xml:space="preserve">Пуговкина Ирина Николаевна </t>
  </si>
  <si>
    <t xml:space="preserve">Сычёва Ольга Дмитриевна </t>
  </si>
  <si>
    <t xml:space="preserve">Жадкевич Нина Алексеевна </t>
  </si>
  <si>
    <t>Уклюдов Сергей Львович</t>
  </si>
  <si>
    <t xml:space="preserve">Ведерникова Людмила Николаевна </t>
  </si>
  <si>
    <t>Дьякова Любовь Анатольевна</t>
  </si>
  <si>
    <t xml:space="preserve">Петров Кирилл Вячеславович </t>
  </si>
  <si>
    <t xml:space="preserve">Иванов Геннадий Федорович </t>
  </si>
  <si>
    <t>Лаврентьева Оксана Анатольевна</t>
  </si>
  <si>
    <t>Федяинов Николай Иванович</t>
  </si>
  <si>
    <t xml:space="preserve">смена счетчика 30.11.2022г. </t>
  </si>
  <si>
    <t xml:space="preserve">смена счетчика 05.01.2023г. </t>
  </si>
  <si>
    <t>замена счетчика 05.01.2023</t>
  </si>
  <si>
    <t>Чернова Ольга Андреевна</t>
  </si>
  <si>
    <t>Пантелеев Георгий Георгиевич</t>
  </si>
  <si>
    <t>Милехин Дмитрий Юрьевич</t>
  </si>
  <si>
    <t>Спругге Тамара Владимировна</t>
  </si>
  <si>
    <t xml:space="preserve">Богатов Олег Владимирович </t>
  </si>
  <si>
    <t>Смольникова Наталья Николаевна</t>
  </si>
  <si>
    <t>Артамонова Татьяна Алексеевна</t>
  </si>
  <si>
    <t>Тарасов Константин Леонивоч</t>
  </si>
  <si>
    <t>Устимов Алексей Владимирович</t>
  </si>
  <si>
    <t>Чубрикова Наталья Николаевна/Харитонова Тамара Ивановна</t>
  </si>
  <si>
    <t>смена счетчика 02.07.2023г.</t>
  </si>
  <si>
    <t>Баранова Людмила Ивановна</t>
  </si>
  <si>
    <t xml:space="preserve">новый счетчик </t>
  </si>
  <si>
    <t>новый счетчик</t>
  </si>
  <si>
    <t>Денисов Кирилл Олегович</t>
  </si>
  <si>
    <t>!</t>
  </si>
  <si>
    <t>Кочкина Г.И.</t>
  </si>
  <si>
    <t>18/19</t>
  </si>
  <si>
    <t>Жучков А.В.</t>
  </si>
  <si>
    <t xml:space="preserve">№ участка </t>
  </si>
  <si>
    <t>ФИО</t>
  </si>
  <si>
    <t>Кудряшова Валентина Николаевна</t>
  </si>
  <si>
    <t>Кочкина Галина Ивановна</t>
  </si>
  <si>
    <t>Богданова Ольга Витальевна/ Войлов Владимир Витальевич</t>
  </si>
  <si>
    <t>смена счетчика 13.08.2023</t>
  </si>
  <si>
    <t>новый счетчик 02.10.2021</t>
  </si>
  <si>
    <t>новый счетчик 03.10.2023</t>
  </si>
  <si>
    <t>Неверко Татьяна Игоревна</t>
  </si>
  <si>
    <t>новый счетчик 15.10.2023</t>
  </si>
  <si>
    <t>новый счетчик 03.07.2022, поставлен в график на отключение</t>
  </si>
  <si>
    <t>замена счетчика 17.11.2023</t>
  </si>
  <si>
    <t>Вологдина Тамара Евгеньевна</t>
  </si>
  <si>
    <t xml:space="preserve">Ворожбит Дмитрий Владимирович </t>
  </si>
  <si>
    <t xml:space="preserve">Дейнего Геннадий Николаевич </t>
  </si>
  <si>
    <t>Репников Геннадий Николаевич</t>
  </si>
  <si>
    <t>Османов Таер Мубинович</t>
  </si>
  <si>
    <t>Филиппова Валентина Александровна/Власова Любовь Михайловна</t>
  </si>
  <si>
    <t>Тразахина Татьяна Борисовна/ Тразахина Алексей Петрович</t>
  </si>
  <si>
    <t>Косинова Александра Вениаминовна</t>
  </si>
  <si>
    <t>Горина Наталья Александровна/ Горина Елена Александровна</t>
  </si>
  <si>
    <t>Королева Нина Николаевна/ Тетеркина Наталья Викторовна/ Королев Андрей Викторович</t>
  </si>
  <si>
    <t>Слюзар Мария Мечиславовна</t>
  </si>
  <si>
    <t>Калугина Полина Викторовна</t>
  </si>
  <si>
    <t>Новый счетчик 06.06.2024</t>
  </si>
  <si>
    <t>Замена счетчика 15.01.2024</t>
  </si>
  <si>
    <t>отключен от электроэнергии</t>
  </si>
  <si>
    <t>Отключен от электроэнергии</t>
  </si>
  <si>
    <t xml:space="preserve">Заброшен, новый счетчик </t>
  </si>
  <si>
    <t>Заброшен, отключен от электроэнергии</t>
  </si>
  <si>
    <t>Ищенко Елена Анатольевна</t>
  </si>
  <si>
    <t>Замена счётчика 24.07.2021</t>
  </si>
  <si>
    <t>новый счетчик 12.08.2023</t>
  </si>
  <si>
    <t>новый счетчик 30.06.2024</t>
  </si>
  <si>
    <t>Заменя счетчика 06.06.2024</t>
  </si>
  <si>
    <t>новый счетчик 01.08</t>
  </si>
  <si>
    <t>новый счетчик август</t>
  </si>
  <si>
    <t>На 31.07.2024</t>
  </si>
  <si>
    <t>ПОКАЗАНИЯ ВЫНОСНЫХ ЭЛ. СЧЕТЧИКОВ, УСТАНОВЛЕННЫХ НА СТОЛБАХ ОСВЕЩЕНИЯ ПО СОСТОЯНИЮ НА 31.07.2024г.</t>
  </si>
  <si>
    <t>новый счетчик 03.07.2022</t>
  </si>
  <si>
    <t>По оплате 07.08.2024</t>
  </si>
  <si>
    <t>Новый счетчик 21.04.2024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</si>
</sst>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#,##0"/>
    <numFmt numFmtId="165" formatCode="[$-419]#,##0.00"/>
    <numFmt numFmtId="166" formatCode="&quot; &quot;#,##0.00&quot;р. &quot;;&quot;-&quot;#,##0.00&quot;р. &quot;;&quot; -&quot;#&quot;р. &quot;;@&quot; &quot;"/>
  </numFmts>
  <fonts count="2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CC1DA"/>
        <bgColor rgb="FFCCC1DA"/>
      </patternFill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BFBFBF"/>
        <bgColor rgb="FFBFBFBF"/>
      </patternFill>
    </fill>
    <fill>
      <patternFill patternType="solid">
        <fgColor rgb="FFCCC0DA"/>
        <bgColor rgb="FFCCC0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theme="7" tint="0.59999389629810485"/>
        <bgColor rgb="FFCCC1DA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66"/>
      </patternFill>
    </fill>
    <fill>
      <patternFill patternType="solid">
        <fgColor theme="7" tint="0.59999389629810485"/>
        <bgColor rgb="FFFFFF6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C1DA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CCC1DA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166" fontId="6" fillId="0" borderId="0"/>
  </cellStyleXfs>
  <cellXfs count="652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center" vertical="center"/>
    </xf>
    <xf numFmtId="164" fontId="4" fillId="10" borderId="2" xfId="1" applyNumberFormat="1" applyFont="1" applyFill="1" applyBorder="1" applyAlignment="1">
      <alignment horizontal="center" vertical="center"/>
    </xf>
    <xf numFmtId="164" fontId="4" fillId="7" borderId="2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 wrapText="1"/>
    </xf>
    <xf numFmtId="165" fontId="9" fillId="0" borderId="4" xfId="1" applyNumberFormat="1" applyFont="1" applyFill="1" applyBorder="1" applyAlignment="1">
      <alignment horizontal="center" vertical="center" shrinkToFi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5" fillId="0" borderId="21" xfId="1" applyNumberFormat="1" applyFont="1" applyFill="1" applyBorder="1" applyAlignment="1">
      <alignment horizontal="center" vertical="center"/>
    </xf>
    <xf numFmtId="165" fontId="5" fillId="7" borderId="2" xfId="1" applyNumberFormat="1" applyFont="1" applyFill="1" applyBorder="1" applyAlignment="1">
      <alignment horizontal="center" vertical="center"/>
    </xf>
    <xf numFmtId="165" fontId="5" fillId="0" borderId="2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12" borderId="3" xfId="1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164" fontId="4" fillId="19" borderId="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14" borderId="3" xfId="1" applyNumberFormat="1" applyFont="1" applyFill="1" applyBorder="1" applyAlignment="1">
      <alignment horizontal="center" vertical="center"/>
    </xf>
    <xf numFmtId="164" fontId="4" fillId="2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4" fillId="8" borderId="7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7" borderId="7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16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7" xfId="0" applyBorder="1"/>
    <xf numFmtId="0" fontId="4" fillId="0" borderId="7" xfId="1" applyFont="1" applyFill="1" applyBorder="1" applyAlignment="1">
      <alignment vertical="center" wrapText="1"/>
    </xf>
    <xf numFmtId="0" fontId="4" fillId="7" borderId="7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vertical="center" wrapText="1"/>
    </xf>
    <xf numFmtId="0" fontId="4" fillId="16" borderId="7" xfId="1" applyFont="1" applyFill="1" applyBorder="1" applyAlignment="1">
      <alignment vertical="center" wrapText="1"/>
    </xf>
    <xf numFmtId="0" fontId="9" fillId="3" borderId="7" xfId="1" applyFont="1" applyFill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4" fillId="0" borderId="15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vertical="center" wrapText="1"/>
    </xf>
    <xf numFmtId="0" fontId="10" fillId="0" borderId="7" xfId="0" applyFont="1" applyBorder="1"/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164" fontId="4" fillId="5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164" fontId="4" fillId="6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9" fillId="9" borderId="2" xfId="1" applyNumberFormat="1" applyFont="1" applyFill="1" applyBorder="1" applyAlignment="1">
      <alignment horizontal="center" vertical="center"/>
    </xf>
    <xf numFmtId="164" fontId="9" fillId="7" borderId="2" xfId="1" applyNumberFormat="1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3" borderId="34" xfId="1" applyNumberFormat="1" applyFont="1" applyFill="1" applyBorder="1" applyAlignment="1">
      <alignment horizontal="center" vertical="center"/>
    </xf>
    <xf numFmtId="164" fontId="4" fillId="5" borderId="34" xfId="1" applyNumberFormat="1" applyFont="1" applyFill="1" applyBorder="1" applyAlignment="1">
      <alignment horizontal="center" vertical="center"/>
    </xf>
    <xf numFmtId="164" fontId="4" fillId="0" borderId="34" xfId="1" applyNumberFormat="1" applyFont="1" applyFill="1" applyBorder="1" applyAlignment="1">
      <alignment horizontal="center" vertical="center"/>
    </xf>
    <xf numFmtId="165" fontId="5" fillId="0" borderId="34" xfId="1" applyNumberFormat="1" applyFont="1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left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164" fontId="15" fillId="4" borderId="2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/>
    </xf>
    <xf numFmtId="164" fontId="15" fillId="2" borderId="5" xfId="1" applyNumberFormat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165" fontId="9" fillId="0" borderId="11" xfId="1" applyNumberFormat="1" applyFont="1" applyFill="1" applyBorder="1" applyAlignment="1">
      <alignment horizontal="center" vertical="center" shrinkToFit="1"/>
    </xf>
    <xf numFmtId="0" fontId="9" fillId="3" borderId="7" xfId="1" applyFont="1" applyFill="1" applyBorder="1" applyAlignment="1">
      <alignment horizontal="center" vertical="center" wrapText="1"/>
    </xf>
    <xf numFmtId="164" fontId="4" fillId="17" borderId="3" xfId="1" applyNumberFormat="1" applyFont="1" applyFill="1" applyBorder="1" applyAlignment="1">
      <alignment horizontal="center" vertical="center"/>
    </xf>
    <xf numFmtId="0" fontId="4" fillId="16" borderId="7" xfId="1" applyFont="1" applyFill="1" applyBorder="1" applyAlignment="1">
      <alignment horizontal="center" vertical="center" wrapText="1"/>
    </xf>
    <xf numFmtId="164" fontId="4" fillId="16" borderId="3" xfId="1" applyNumberFormat="1" applyFont="1" applyFill="1" applyBorder="1" applyAlignment="1">
      <alignment horizontal="center" vertical="center"/>
    </xf>
    <xf numFmtId="165" fontId="9" fillId="0" borderId="33" xfId="1" applyNumberFormat="1" applyFont="1" applyFill="1" applyBorder="1" applyAlignment="1">
      <alignment horizontal="center" vertical="center" shrinkToFit="1"/>
    </xf>
    <xf numFmtId="165" fontId="9" fillId="0" borderId="1" xfId="1" applyNumberFormat="1" applyFont="1" applyFill="1" applyBorder="1" applyAlignment="1">
      <alignment horizontal="center" vertical="center" shrinkToFit="1"/>
    </xf>
    <xf numFmtId="165" fontId="9" fillId="0" borderId="12" xfId="1" applyNumberFormat="1" applyFont="1" applyFill="1" applyBorder="1" applyAlignment="1">
      <alignment horizontal="center" vertical="center" shrinkToFit="1"/>
    </xf>
    <xf numFmtId="165" fontId="9" fillId="0" borderId="7" xfId="1" applyNumberFormat="1" applyFont="1" applyFill="1" applyBorder="1" applyAlignment="1">
      <alignment horizontal="center" vertical="center" shrinkToFit="1"/>
    </xf>
    <xf numFmtId="164" fontId="9" fillId="0" borderId="4" xfId="1" applyNumberFormat="1" applyFont="1" applyFill="1" applyBorder="1" applyAlignment="1">
      <alignment horizontal="center" vertical="center"/>
    </xf>
    <xf numFmtId="165" fontId="19" fillId="0" borderId="0" xfId="1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9" fillId="0" borderId="11" xfId="1" applyNumberFormat="1" applyFont="1" applyFill="1" applyBorder="1" applyAlignment="1">
      <alignment horizontal="center" vertical="center" shrinkToFit="1"/>
    </xf>
    <xf numFmtId="164" fontId="15" fillId="3" borderId="3" xfId="1" applyNumberFormat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center" vertical="center" wrapText="1"/>
    </xf>
    <xf numFmtId="165" fontId="9" fillId="0" borderId="10" xfId="1" applyNumberFormat="1" applyFont="1" applyFill="1" applyBorder="1" applyAlignment="1">
      <alignment horizontal="center" vertical="center" shrinkToFit="1"/>
    </xf>
    <xf numFmtId="164" fontId="9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5" fontId="9" fillId="0" borderId="16" xfId="1" applyNumberFormat="1" applyFont="1" applyFill="1" applyBorder="1" applyAlignment="1">
      <alignment horizontal="center" vertical="center" shrinkToFit="1"/>
    </xf>
    <xf numFmtId="164" fontId="4" fillId="2" borderId="6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left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165" fontId="9" fillId="0" borderId="16" xfId="1" applyNumberFormat="1" applyFont="1" applyFill="1" applyBorder="1" applyAlignment="1">
      <alignment horizontal="center" vertical="center" shrinkToFit="1"/>
    </xf>
    <xf numFmtId="164" fontId="4" fillId="2" borderId="6" xfId="1" applyNumberFormat="1" applyFont="1" applyFill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3" borderId="19" xfId="1" applyFont="1" applyFill="1" applyBorder="1" applyAlignment="1">
      <alignment horizontal="left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16" borderId="7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4" fillId="7" borderId="19" xfId="1" applyFont="1" applyFill="1" applyBorder="1" applyAlignment="1">
      <alignment horizontal="left" vertical="center" wrapText="1"/>
    </xf>
    <xf numFmtId="0" fontId="4" fillId="4" borderId="21" xfId="1" applyFont="1" applyFill="1" applyBorder="1" applyAlignment="1">
      <alignment horizontal="left" vertical="center" wrapText="1"/>
    </xf>
    <xf numFmtId="0" fontId="4" fillId="0" borderId="24" xfId="1" applyFont="1" applyFill="1" applyBorder="1" applyAlignment="1">
      <alignment horizontal="left" vertical="center" wrapText="1"/>
    </xf>
    <xf numFmtId="0" fontId="4" fillId="16" borderId="19" xfId="1" applyFont="1" applyFill="1" applyBorder="1" applyAlignment="1">
      <alignment horizontal="left" vertical="center" wrapText="1"/>
    </xf>
    <xf numFmtId="0" fontId="4" fillId="3" borderId="21" xfId="1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9" fillId="0" borderId="26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left" vertical="center" wrapText="1"/>
    </xf>
    <xf numFmtId="0" fontId="15" fillId="4" borderId="21" xfId="1" applyFont="1" applyFill="1" applyBorder="1" applyAlignment="1">
      <alignment horizontal="left" vertical="center" wrapText="1"/>
    </xf>
    <xf numFmtId="0" fontId="4" fillId="0" borderId="30" xfId="1" applyFont="1" applyFill="1" applyBorder="1" applyAlignment="1">
      <alignment horizontal="left" vertical="center" wrapText="1"/>
    </xf>
    <xf numFmtId="0" fontId="9" fillId="3" borderId="24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9" fillId="3" borderId="21" xfId="1" applyFont="1" applyFill="1" applyBorder="1" applyAlignment="1">
      <alignment horizontal="left" vertical="center" wrapText="1"/>
    </xf>
    <xf numFmtId="0" fontId="9" fillId="3" borderId="26" xfId="1" applyFont="1" applyFill="1" applyBorder="1" applyAlignment="1">
      <alignment horizontal="left" vertical="center" wrapText="1"/>
    </xf>
    <xf numFmtId="0" fontId="9" fillId="8" borderId="21" xfId="1" applyFont="1" applyFill="1" applyBorder="1" applyAlignment="1">
      <alignment horizontal="left" vertical="center" wrapText="1"/>
    </xf>
    <xf numFmtId="0" fontId="9" fillId="0" borderId="24" xfId="1" applyFont="1" applyFill="1" applyBorder="1" applyAlignment="1">
      <alignment horizontal="left" vertical="center" wrapText="1"/>
    </xf>
    <xf numFmtId="0" fontId="4" fillId="7" borderId="21" xfId="1" applyFont="1" applyFill="1" applyBorder="1" applyAlignment="1">
      <alignment horizontal="left" vertical="center" wrapText="1"/>
    </xf>
    <xf numFmtId="0" fontId="15" fillId="0" borderId="21" xfId="1" applyFont="1" applyFill="1" applyBorder="1" applyAlignment="1">
      <alignment horizontal="left" vertical="center" wrapText="1"/>
    </xf>
    <xf numFmtId="0" fontId="9" fillId="0" borderId="21" xfId="1" applyFont="1" applyFill="1" applyBorder="1" applyAlignment="1">
      <alignment horizontal="left" vertical="center" wrapText="1"/>
    </xf>
    <xf numFmtId="0" fontId="4" fillId="0" borderId="28" xfId="1" applyFont="1" applyFill="1" applyBorder="1" applyAlignment="1">
      <alignment horizontal="left" vertical="center" wrapText="1"/>
    </xf>
    <xf numFmtId="166" fontId="15" fillId="4" borderId="19" xfId="3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5" xfId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left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19" xfId="1" applyFont="1" applyFill="1" applyBorder="1" applyAlignment="1">
      <alignment horizontal="left" vertical="center" wrapText="1"/>
    </xf>
    <xf numFmtId="0" fontId="4" fillId="4" borderId="19" xfId="1" applyFont="1" applyFill="1" applyBorder="1" applyAlignment="1">
      <alignment horizontal="left" vertical="center" wrapText="1"/>
    </xf>
    <xf numFmtId="0" fontId="9" fillId="0" borderId="19" xfId="1" applyFont="1" applyFill="1" applyBorder="1" applyAlignment="1">
      <alignment horizontal="left" vertical="center" wrapText="1"/>
    </xf>
    <xf numFmtId="164" fontId="9" fillId="3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9" fillId="7" borderId="19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164" fontId="4" fillId="0" borderId="17" xfId="1" applyNumberFormat="1" applyFont="1" applyFill="1" applyBorder="1" applyAlignment="1">
      <alignment horizontal="center" vertical="center"/>
    </xf>
    <xf numFmtId="164" fontId="4" fillId="2" borderId="17" xfId="1" applyNumberFormat="1" applyFont="1" applyFill="1" applyBorder="1" applyAlignment="1">
      <alignment horizontal="center" vertical="center"/>
    </xf>
    <xf numFmtId="165" fontId="5" fillId="0" borderId="17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2" fontId="8" fillId="0" borderId="0" xfId="1" applyNumberFormat="1" applyFont="1" applyFill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16" fillId="0" borderId="0" xfId="0" applyFont="1" applyAlignment="1"/>
    <xf numFmtId="0" fontId="16" fillId="0" borderId="0" xfId="0" applyFont="1" applyFill="1" applyAlignment="1">
      <alignment vertical="center"/>
    </xf>
    <xf numFmtId="0" fontId="12" fillId="0" borderId="9" xfId="1" applyFont="1" applyFill="1" applyBorder="1" applyAlignment="1">
      <alignment vertical="center" wrapText="1"/>
    </xf>
    <xf numFmtId="166" fontId="8" fillId="0" borderId="0" xfId="1" applyNumberFormat="1" applyFont="1" applyFill="1" applyAlignment="1">
      <alignment vertical="center" wrapText="1"/>
    </xf>
    <xf numFmtId="0" fontId="4" fillId="7" borderId="1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4" fillId="16" borderId="7" xfId="1" applyFont="1" applyFill="1" applyBorder="1" applyAlignment="1">
      <alignment horizontal="left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center" vertical="center" shrinkToFit="1"/>
    </xf>
    <xf numFmtId="0" fontId="4" fillId="7" borderId="7" xfId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horizontal="left" vertical="center" wrapText="1"/>
    </xf>
    <xf numFmtId="164" fontId="4" fillId="5" borderId="3" xfId="1" applyNumberFormat="1" applyFont="1" applyFill="1" applyBorder="1" applyAlignment="1">
      <alignment horizontal="center" vertical="center"/>
    </xf>
    <xf numFmtId="0" fontId="9" fillId="7" borderId="7" xfId="1" applyFont="1" applyFill="1" applyBorder="1" applyAlignment="1">
      <alignment horizontal="left" vertical="center" wrapText="1"/>
    </xf>
    <xf numFmtId="164" fontId="4" fillId="7" borderId="7" xfId="1" applyNumberFormat="1" applyFont="1" applyFill="1" applyBorder="1" applyAlignment="1">
      <alignment horizontal="center" vertical="center"/>
    </xf>
    <xf numFmtId="164" fontId="4" fillId="21" borderId="7" xfId="1" applyNumberFormat="1" applyFont="1" applyFill="1" applyBorder="1" applyAlignment="1">
      <alignment horizontal="center" vertical="center"/>
    </xf>
    <xf numFmtId="165" fontId="5" fillId="7" borderId="7" xfId="1" applyNumberFormat="1" applyFont="1" applyFill="1" applyBorder="1" applyAlignment="1">
      <alignment horizontal="center" vertical="center"/>
    </xf>
    <xf numFmtId="165" fontId="9" fillId="7" borderId="7" xfId="1" applyNumberFormat="1" applyFont="1" applyFill="1" applyBorder="1" applyAlignment="1">
      <alignment horizontal="center" vertical="center" shrinkToFit="1"/>
    </xf>
    <xf numFmtId="0" fontId="4" fillId="7" borderId="19" xfId="1" applyFont="1" applyFill="1" applyBorder="1" applyAlignment="1">
      <alignment horizontal="left" vertical="center" wrapText="1"/>
    </xf>
    <xf numFmtId="0" fontId="4" fillId="7" borderId="7" xfId="1" applyFont="1" applyFill="1" applyBorder="1" applyAlignment="1">
      <alignment horizontal="center" vertical="center" wrapText="1"/>
    </xf>
    <xf numFmtId="164" fontId="4" fillId="7" borderId="3" xfId="1" applyNumberFormat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0" fontId="4" fillId="3" borderId="30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4" fillId="0" borderId="26" xfId="1" applyFont="1" applyFill="1" applyBorder="1" applyAlignment="1">
      <alignment horizontal="left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left" vertical="center" wrapText="1"/>
    </xf>
    <xf numFmtId="165" fontId="9" fillId="0" borderId="16" xfId="1" applyNumberFormat="1" applyFont="1" applyFill="1" applyBorder="1" applyAlignment="1">
      <alignment horizontal="center" vertical="center" shrinkToFit="1"/>
    </xf>
    <xf numFmtId="0" fontId="4" fillId="3" borderId="19" xfId="1" applyFont="1" applyFill="1" applyBorder="1" applyAlignment="1">
      <alignment horizontal="left" vertical="center" wrapText="1"/>
    </xf>
    <xf numFmtId="0" fontId="9" fillId="0" borderId="19" xfId="1" applyFont="1" applyFill="1" applyBorder="1" applyAlignment="1">
      <alignment horizontal="left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 wrapText="1"/>
    </xf>
    <xf numFmtId="0" fontId="9" fillId="7" borderId="30" xfId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0" fontId="4" fillId="7" borderId="30" xfId="1" applyFont="1" applyFill="1" applyBorder="1" applyAlignment="1">
      <alignment horizontal="left" vertical="center" wrapText="1"/>
    </xf>
    <xf numFmtId="164" fontId="4" fillId="15" borderId="3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left" vertical="center" wrapText="1"/>
    </xf>
    <xf numFmtId="165" fontId="9" fillId="0" borderId="23" xfId="1" applyNumberFormat="1" applyFont="1" applyFill="1" applyBorder="1" applyAlignment="1">
      <alignment horizontal="center" vertical="center" shrinkToFit="1"/>
    </xf>
    <xf numFmtId="164" fontId="4" fillId="17" borderId="3" xfId="1" applyNumberFormat="1" applyFont="1" applyFill="1" applyBorder="1" applyAlignment="1">
      <alignment horizontal="center" vertical="center"/>
    </xf>
    <xf numFmtId="0" fontId="4" fillId="16" borderId="7" xfId="1" applyFont="1" applyFill="1" applyBorder="1" applyAlignment="1">
      <alignment horizontal="center" vertical="center" wrapText="1"/>
    </xf>
    <xf numFmtId="0" fontId="4" fillId="16" borderId="19" xfId="1" applyFont="1" applyFill="1" applyBorder="1" applyAlignment="1">
      <alignment horizontal="left" vertical="center" wrapText="1"/>
    </xf>
    <xf numFmtId="0" fontId="9" fillId="0" borderId="30" xfId="1" applyFont="1" applyFill="1" applyBorder="1" applyAlignment="1">
      <alignment horizontal="left" vertical="center" wrapText="1"/>
    </xf>
    <xf numFmtId="164" fontId="9" fillId="3" borderId="3" xfId="1" applyNumberFormat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left" vertical="center" wrapText="1"/>
    </xf>
    <xf numFmtId="164" fontId="4" fillId="5" borderId="3" xfId="1" applyNumberFormat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left" vertical="center" wrapText="1"/>
    </xf>
    <xf numFmtId="165" fontId="9" fillId="0" borderId="10" xfId="1" applyNumberFormat="1" applyFont="1" applyFill="1" applyBorder="1" applyAlignment="1">
      <alignment horizontal="center" vertical="center" shrinkToFit="1"/>
    </xf>
    <xf numFmtId="164" fontId="4" fillId="2" borderId="3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horizontal="left" vertical="center" wrapText="1"/>
    </xf>
    <xf numFmtId="164" fontId="4" fillId="12" borderId="3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left" vertical="center" wrapText="1"/>
    </xf>
    <xf numFmtId="0" fontId="9" fillId="3" borderId="19" xfId="1" applyFont="1" applyFill="1" applyBorder="1" applyAlignment="1">
      <alignment horizontal="left" vertical="center" wrapText="1"/>
    </xf>
    <xf numFmtId="0" fontId="9" fillId="0" borderId="30" xfId="1" applyFont="1" applyFill="1" applyBorder="1" applyAlignment="1">
      <alignment horizontal="left" vertical="center" wrapText="1"/>
    </xf>
    <xf numFmtId="164" fontId="4" fillId="13" borderId="3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left" vertical="center" wrapText="1"/>
    </xf>
    <xf numFmtId="164" fontId="9" fillId="3" borderId="3" xfId="1" applyNumberFormat="1" applyFont="1" applyFill="1" applyBorder="1" applyAlignment="1">
      <alignment horizontal="center" vertical="center"/>
    </xf>
    <xf numFmtId="164" fontId="15" fillId="2" borderId="3" xfId="1" applyNumberFormat="1" applyFont="1" applyFill="1" applyBorder="1" applyAlignment="1">
      <alignment horizontal="center" vertical="center"/>
    </xf>
    <xf numFmtId="164" fontId="15" fillId="11" borderId="3" xfId="1" applyNumberFormat="1" applyFont="1" applyFill="1" applyBorder="1" applyAlignment="1">
      <alignment horizontal="center" vertical="center"/>
    </xf>
    <xf numFmtId="0" fontId="15" fillId="11" borderId="19" xfId="1" applyFont="1" applyFill="1" applyBorder="1" applyAlignment="1">
      <alignment horizontal="left" vertical="center" wrapText="1"/>
    </xf>
    <xf numFmtId="0" fontId="15" fillId="11" borderId="7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left" vertical="center" wrapText="1"/>
    </xf>
    <xf numFmtId="0" fontId="4" fillId="0" borderId="27" xfId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0" borderId="37" xfId="1" applyFont="1" applyFill="1" applyBorder="1" applyAlignment="1">
      <alignment horizontal="left" vertical="center" wrapText="1"/>
    </xf>
    <xf numFmtId="165" fontId="9" fillId="0" borderId="39" xfId="1" applyNumberFormat="1" applyFont="1" applyFill="1" applyBorder="1" applyAlignment="1">
      <alignment horizontal="center" vertical="center" shrinkToFit="1"/>
    </xf>
    <xf numFmtId="164" fontId="9" fillId="16" borderId="3" xfId="1" applyNumberFormat="1" applyFont="1" applyFill="1" applyBorder="1" applyAlignment="1">
      <alignment horizontal="center" vertical="center"/>
    </xf>
    <xf numFmtId="164" fontId="9" fillId="4" borderId="2" xfId="1" applyNumberFormat="1" applyFont="1" applyFill="1" applyBorder="1" applyAlignment="1">
      <alignment horizontal="center" vertical="center"/>
    </xf>
    <xf numFmtId="164" fontId="4" fillId="0" borderId="40" xfId="1" applyNumberFormat="1" applyFont="1" applyFill="1" applyBorder="1" applyAlignment="1">
      <alignment horizontal="center" vertical="center"/>
    </xf>
    <xf numFmtId="165" fontId="5" fillId="0" borderId="40" xfId="1" applyNumberFormat="1" applyFont="1" applyFill="1" applyBorder="1" applyAlignment="1">
      <alignment horizontal="center" vertical="center"/>
    </xf>
    <xf numFmtId="164" fontId="4" fillId="2" borderId="40" xfId="1" applyNumberFormat="1" applyFont="1" applyFill="1" applyBorder="1" applyAlignment="1">
      <alignment horizontal="center" vertical="center"/>
    </xf>
    <xf numFmtId="164" fontId="9" fillId="0" borderId="40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2" fontId="0" fillId="0" borderId="0" xfId="0" applyNumberFormat="1"/>
    <xf numFmtId="164" fontId="9" fillId="4" borderId="3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horizontal="center" vertical="center"/>
    </xf>
    <xf numFmtId="164" fontId="4" fillId="2" borderId="15" xfId="1" applyNumberFormat="1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15" fillId="0" borderId="4" xfId="1" applyNumberFormat="1" applyFont="1" applyFill="1" applyBorder="1" applyAlignment="1">
      <alignment horizontal="center" vertical="center" shrinkToFit="1"/>
    </xf>
    <xf numFmtId="164" fontId="9" fillId="7" borderId="3" xfId="1" applyNumberFormat="1" applyFont="1" applyFill="1" applyBorder="1" applyAlignment="1">
      <alignment horizontal="center" vertical="center"/>
    </xf>
    <xf numFmtId="164" fontId="9" fillId="3" borderId="7" xfId="1" applyNumberFormat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left" vertical="center" wrapText="1"/>
    </xf>
    <xf numFmtId="164" fontId="9" fillId="8" borderId="2" xfId="1" applyNumberFormat="1" applyFont="1" applyFill="1" applyBorder="1" applyAlignment="1">
      <alignment horizontal="center" vertical="center"/>
    </xf>
    <xf numFmtId="165" fontId="15" fillId="0" borderId="10" xfId="1" applyNumberFormat="1" applyFont="1" applyFill="1" applyBorder="1" applyAlignment="1">
      <alignment horizontal="center" vertical="center" shrinkToFit="1"/>
    </xf>
    <xf numFmtId="164" fontId="9" fillId="0" borderId="19" xfId="1" applyNumberFormat="1" applyFont="1" applyFill="1" applyBorder="1" applyAlignment="1">
      <alignment horizontal="center" vertical="center"/>
    </xf>
    <xf numFmtId="164" fontId="9" fillId="4" borderId="5" xfId="1" applyNumberFormat="1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 shrinkToFit="1"/>
    </xf>
    <xf numFmtId="165" fontId="9" fillId="0" borderId="16" xfId="1" applyNumberFormat="1" applyFont="1" applyFill="1" applyBorder="1" applyAlignment="1">
      <alignment horizontal="center" vertical="center" shrinkToFi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164" fontId="4" fillId="4" borderId="15" xfId="1" applyNumberFormat="1" applyFont="1" applyFill="1" applyBorder="1" applyAlignment="1">
      <alignment horizontal="center" vertical="center"/>
    </xf>
    <xf numFmtId="164" fontId="4" fillId="4" borderId="17" xfId="1" applyNumberFormat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5" fontId="9" fillId="0" borderId="15" xfId="1" applyNumberFormat="1" applyFont="1" applyFill="1" applyBorder="1" applyAlignment="1">
      <alignment horizontal="center" vertical="center" shrinkToFit="1"/>
    </xf>
    <xf numFmtId="165" fontId="9" fillId="0" borderId="17" xfId="1" applyNumberFormat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left" vertical="center" wrapText="1"/>
    </xf>
    <xf numFmtId="0" fontId="4" fillId="0" borderId="32" xfId="1" applyFont="1" applyFill="1" applyBorder="1" applyAlignment="1">
      <alignment horizontal="left" vertical="center" wrapText="1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vertical="center" wrapText="1"/>
    </xf>
    <xf numFmtId="165" fontId="9" fillId="0" borderId="11" xfId="1" applyNumberFormat="1" applyFont="1" applyFill="1" applyBorder="1" applyAlignment="1">
      <alignment horizontal="center" vertical="center" shrinkToFit="1"/>
    </xf>
    <xf numFmtId="0" fontId="4" fillId="0" borderId="19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16" borderId="3" xfId="1" applyNumberFormat="1" applyFont="1" applyFill="1" applyBorder="1" applyAlignment="1">
      <alignment horizontal="center" vertical="center"/>
    </xf>
    <xf numFmtId="164" fontId="4" fillId="16" borderId="5" xfId="1" applyNumberFormat="1" applyFont="1" applyFill="1" applyBorder="1" applyAlignment="1">
      <alignment horizontal="center" vertical="center"/>
    </xf>
    <xf numFmtId="0" fontId="4" fillId="16" borderId="30" xfId="1" applyFont="1" applyFill="1" applyBorder="1" applyAlignment="1">
      <alignment horizontal="left" vertical="center" wrapText="1"/>
    </xf>
    <xf numFmtId="0" fontId="4" fillId="16" borderId="32" xfId="1" applyFont="1" applyFill="1" applyBorder="1" applyAlignment="1">
      <alignment horizontal="left" vertical="center" wrapText="1"/>
    </xf>
    <xf numFmtId="0" fontId="4" fillId="3" borderId="30" xfId="1" applyFont="1" applyFill="1" applyBorder="1" applyAlignment="1">
      <alignment horizontal="left" vertical="center" wrapText="1"/>
    </xf>
    <xf numFmtId="0" fontId="4" fillId="3" borderId="32" xfId="1" applyFont="1" applyFill="1" applyBorder="1" applyAlignment="1">
      <alignment horizontal="left" vertical="center" wrapText="1"/>
    </xf>
    <xf numFmtId="164" fontId="4" fillId="12" borderId="3" xfId="1" applyNumberFormat="1" applyFont="1" applyFill="1" applyBorder="1" applyAlignment="1">
      <alignment horizontal="center" vertical="center"/>
    </xf>
    <xf numFmtId="164" fontId="4" fillId="12" borderId="5" xfId="1" applyNumberFormat="1" applyFont="1" applyFill="1" applyBorder="1" applyAlignment="1">
      <alignment horizontal="center" vertical="center"/>
    </xf>
    <xf numFmtId="164" fontId="4" fillId="17" borderId="3" xfId="1" applyNumberFormat="1" applyFont="1" applyFill="1" applyBorder="1" applyAlignment="1">
      <alignment horizontal="center" vertical="center"/>
    </xf>
    <xf numFmtId="164" fontId="4" fillId="17" borderId="5" xfId="1" applyNumberFormat="1" applyFont="1" applyFill="1" applyBorder="1" applyAlignment="1">
      <alignment horizontal="center" vertical="center"/>
    </xf>
    <xf numFmtId="164" fontId="4" fillId="20" borderId="3" xfId="1" applyNumberFormat="1" applyFont="1" applyFill="1" applyBorder="1" applyAlignment="1">
      <alignment horizontal="center" vertical="center"/>
    </xf>
    <xf numFmtId="164" fontId="4" fillId="20" borderId="5" xfId="1" applyNumberFormat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24" xfId="1" applyNumberFormat="1" applyFont="1" applyFill="1" applyBorder="1" applyAlignment="1">
      <alignment horizontal="center" vertical="center"/>
    </xf>
    <xf numFmtId="164" fontId="4" fillId="3" borderId="25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9" fillId="7" borderId="30" xfId="1" applyFont="1" applyFill="1" applyBorder="1" applyAlignment="1">
      <alignment horizontal="left" vertical="center" wrapText="1"/>
    </xf>
    <xf numFmtId="0" fontId="9" fillId="7" borderId="32" xfId="1" applyFont="1" applyFill="1" applyBorder="1" applyAlignment="1">
      <alignment horizontal="left" vertical="center" wrapText="1"/>
    </xf>
    <xf numFmtId="164" fontId="4" fillId="16" borderId="7" xfId="1" applyNumberFormat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left" vertical="center" wrapText="1"/>
    </xf>
    <xf numFmtId="0" fontId="4" fillId="4" borderId="32" xfId="1" applyFont="1" applyFill="1" applyBorder="1" applyAlignment="1">
      <alignment horizontal="left" vertical="center" wrapText="1"/>
    </xf>
    <xf numFmtId="164" fontId="10" fillId="3" borderId="1" xfId="1" applyNumberFormat="1" applyFont="1" applyFill="1" applyBorder="1" applyAlignment="1">
      <alignment horizontal="center" vertical="center"/>
    </xf>
    <xf numFmtId="164" fontId="10" fillId="3" borderId="29" xfId="1" applyNumberFormat="1" applyFont="1" applyFill="1" applyBorder="1" applyAlignment="1">
      <alignment horizontal="center" vertical="center"/>
    </xf>
    <xf numFmtId="164" fontId="10" fillId="3" borderId="31" xfId="1" applyNumberFormat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left" vertical="center" wrapText="1"/>
    </xf>
    <xf numFmtId="0" fontId="4" fillId="3" borderId="13" xfId="1" applyFont="1" applyFill="1" applyBorder="1" applyAlignment="1">
      <alignment horizontal="left" vertical="center" wrapText="1"/>
    </xf>
    <xf numFmtId="164" fontId="4" fillId="5" borderId="3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164" fontId="15" fillId="0" borderId="3" xfId="1" applyNumberFormat="1" applyFont="1" applyFill="1" applyBorder="1" applyAlignment="1">
      <alignment horizontal="center" vertical="center"/>
    </xf>
    <xf numFmtId="164" fontId="15" fillId="0" borderId="5" xfId="1" applyNumberFormat="1" applyFont="1" applyFill="1" applyBorder="1" applyAlignment="1">
      <alignment horizontal="center" vertical="center"/>
    </xf>
    <xf numFmtId="164" fontId="15" fillId="2" borderId="3" xfId="1" applyNumberFormat="1" applyFont="1" applyFill="1" applyBorder="1" applyAlignment="1">
      <alignment horizontal="center" vertical="center"/>
    </xf>
    <xf numFmtId="164" fontId="15" fillId="2" borderId="6" xfId="1" applyNumberFormat="1" applyFont="1" applyFill="1" applyBorder="1" applyAlignment="1">
      <alignment horizontal="center" vertical="center"/>
    </xf>
    <xf numFmtId="164" fontId="15" fillId="3" borderId="3" xfId="1" applyNumberFormat="1" applyFont="1" applyFill="1" applyBorder="1" applyAlignment="1">
      <alignment horizontal="center" vertical="center"/>
    </xf>
    <xf numFmtId="164" fontId="15" fillId="3" borderId="6" xfId="1" applyNumberFormat="1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left" vertical="center" wrapText="1"/>
    </xf>
    <xf numFmtId="0" fontId="15" fillId="0" borderId="37" xfId="1" applyFont="1" applyFill="1" applyBorder="1" applyAlignment="1">
      <alignment horizontal="left" vertical="center" wrapText="1"/>
    </xf>
    <xf numFmtId="164" fontId="4" fillId="3" borderId="7" xfId="1" applyNumberFormat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4" fontId="4" fillId="3" borderId="29" xfId="1" applyNumberFormat="1" applyFont="1" applyFill="1" applyBorder="1" applyAlignment="1">
      <alignment horizontal="center" vertical="center"/>
    </xf>
    <xf numFmtId="164" fontId="4" fillId="3" borderId="31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center" vertical="center"/>
    </xf>
    <xf numFmtId="164" fontId="4" fillId="0" borderId="2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left" vertical="center" wrapText="1"/>
    </xf>
    <xf numFmtId="0" fontId="9" fillId="0" borderId="32" xfId="1" applyFont="1" applyFill="1" applyBorder="1" applyAlignment="1">
      <alignment horizontal="left" vertical="center" wrapText="1"/>
    </xf>
    <xf numFmtId="0" fontId="9" fillId="7" borderId="15" xfId="1" applyFont="1" applyFill="1" applyBorder="1" applyAlignment="1">
      <alignment horizontal="center" vertical="center" wrapText="1"/>
    </xf>
    <xf numFmtId="0" fontId="9" fillId="7" borderId="17" xfId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left" vertical="center" wrapText="1"/>
    </xf>
    <xf numFmtId="0" fontId="9" fillId="3" borderId="32" xfId="1" applyFont="1" applyFill="1" applyBorder="1" applyAlignment="1">
      <alignment horizontal="left" vertical="center" wrapText="1"/>
    </xf>
    <xf numFmtId="164" fontId="9" fillId="13" borderId="3" xfId="1" applyNumberFormat="1" applyFont="1" applyFill="1" applyBorder="1" applyAlignment="1">
      <alignment horizontal="center" vertical="center"/>
    </xf>
    <xf numFmtId="164" fontId="9" fillId="13" borderId="5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left" vertical="center" wrapText="1"/>
    </xf>
    <xf numFmtId="165" fontId="9" fillId="0" borderId="38" xfId="1" applyNumberFormat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165" fontId="18" fillId="0" borderId="4" xfId="1" applyNumberFormat="1" applyFont="1" applyFill="1" applyBorder="1" applyAlignment="1">
      <alignment horizontal="center" vertical="center" wrapText="1"/>
    </xf>
    <xf numFmtId="0" fontId="10" fillId="7" borderId="30" xfId="1" applyFont="1" applyFill="1" applyBorder="1" applyAlignment="1">
      <alignment horizontal="left" vertical="center" wrapText="1"/>
    </xf>
    <xf numFmtId="0" fontId="10" fillId="7" borderId="32" xfId="1" applyFont="1" applyFill="1" applyBorder="1" applyAlignment="1">
      <alignment horizontal="left" vertical="center" wrapText="1"/>
    </xf>
    <xf numFmtId="164" fontId="4" fillId="15" borderId="3" xfId="1" applyNumberFormat="1" applyFont="1" applyFill="1" applyBorder="1" applyAlignment="1">
      <alignment horizontal="center" vertical="center"/>
    </xf>
    <xf numFmtId="164" fontId="4" fillId="15" borderId="5" xfId="1" applyNumberFormat="1" applyFont="1" applyFill="1" applyBorder="1" applyAlignment="1">
      <alignment horizontal="center" vertical="center"/>
    </xf>
    <xf numFmtId="0" fontId="10" fillId="7" borderId="19" xfId="1" applyFont="1" applyFill="1" applyBorder="1" applyAlignment="1">
      <alignment horizontal="left" vertical="center" wrapText="1"/>
    </xf>
    <xf numFmtId="0" fontId="10" fillId="7" borderId="13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left" vertical="center" wrapText="1"/>
    </xf>
    <xf numFmtId="0" fontId="4" fillId="4" borderId="13" xfId="1" applyFont="1" applyFill="1" applyBorder="1" applyAlignment="1">
      <alignment horizontal="left" vertical="center" wrapText="1"/>
    </xf>
    <xf numFmtId="0" fontId="4" fillId="4" borderId="20" xfId="1" applyFont="1" applyFill="1" applyBorder="1" applyAlignment="1">
      <alignment horizontal="center" vertical="center" wrapText="1"/>
    </xf>
    <xf numFmtId="0" fontId="4" fillId="4" borderId="37" xfId="1" applyFont="1" applyFill="1" applyBorder="1" applyAlignment="1">
      <alignment horizontal="left" vertical="center" wrapText="1"/>
    </xf>
    <xf numFmtId="164" fontId="4" fillId="4" borderId="6" xfId="1" applyNumberFormat="1" applyFont="1" applyFill="1" applyBorder="1" applyAlignment="1">
      <alignment horizontal="center" vertical="center"/>
    </xf>
    <xf numFmtId="0" fontId="4" fillId="7" borderId="30" xfId="1" applyFont="1" applyFill="1" applyBorder="1" applyAlignment="1">
      <alignment horizontal="left" vertical="center" wrapText="1"/>
    </xf>
    <xf numFmtId="0" fontId="4" fillId="7" borderId="32" xfId="1" applyFont="1" applyFill="1" applyBorder="1" applyAlignment="1">
      <alignment horizontal="left" vertical="center" wrapText="1"/>
    </xf>
    <xf numFmtId="164" fontId="4" fillId="3" borderId="6" xfId="1" applyNumberFormat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left" vertical="center" wrapText="1"/>
    </xf>
    <xf numFmtId="0" fontId="4" fillId="7" borderId="7" xfId="1" applyFont="1" applyFill="1" applyBorder="1" applyAlignment="1">
      <alignment horizontal="center" vertical="center" wrapText="1"/>
    </xf>
    <xf numFmtId="164" fontId="4" fillId="14" borderId="3" xfId="1" applyNumberFormat="1" applyFont="1" applyFill="1" applyBorder="1" applyAlignment="1">
      <alignment horizontal="center" vertical="center"/>
    </xf>
    <xf numFmtId="164" fontId="4" fillId="14" borderId="6" xfId="1" applyNumberFormat="1" applyFont="1" applyFill="1" applyBorder="1" applyAlignment="1">
      <alignment horizontal="center" vertical="center"/>
    </xf>
    <xf numFmtId="164" fontId="4" fillId="14" borderId="5" xfId="1" applyNumberFormat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 wrapText="1"/>
    </xf>
    <xf numFmtId="0" fontId="4" fillId="3" borderId="37" xfId="1" applyFont="1" applyFill="1" applyBorder="1" applyAlignment="1">
      <alignment horizontal="center" vertical="center" wrapText="1"/>
    </xf>
    <xf numFmtId="0" fontId="4" fillId="3" borderId="32" xfId="1" applyFont="1" applyFill="1" applyBorder="1" applyAlignment="1">
      <alignment horizontal="center" vertical="center" wrapText="1"/>
    </xf>
    <xf numFmtId="0" fontId="4" fillId="16" borderId="15" xfId="1" applyFont="1" applyFill="1" applyBorder="1" applyAlignment="1">
      <alignment horizontal="center" vertical="center" wrapText="1"/>
    </xf>
    <xf numFmtId="0" fontId="4" fillId="16" borderId="17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164" fontId="4" fillId="0" borderId="35" xfId="1" applyNumberFormat="1" applyFont="1" applyFill="1" applyBorder="1" applyAlignment="1">
      <alignment horizontal="center" vertical="center"/>
    </xf>
    <xf numFmtId="164" fontId="4" fillId="0" borderId="36" xfId="1" applyNumberFormat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left" vertical="center" wrapText="1"/>
    </xf>
    <xf numFmtId="164" fontId="4" fillId="21" borderId="3" xfId="1" applyNumberFormat="1" applyFont="1" applyFill="1" applyBorder="1" applyAlignment="1">
      <alignment horizontal="center" vertical="center"/>
    </xf>
    <xf numFmtId="164" fontId="4" fillId="21" borderId="6" xfId="1" applyNumberFormat="1" applyFont="1" applyFill="1" applyBorder="1" applyAlignment="1">
      <alignment horizontal="center" vertical="center"/>
    </xf>
    <xf numFmtId="164" fontId="4" fillId="21" borderId="5" xfId="1" applyNumberFormat="1" applyFont="1" applyFill="1" applyBorder="1" applyAlignment="1">
      <alignment horizontal="center" vertical="center"/>
    </xf>
    <xf numFmtId="164" fontId="4" fillId="15" borderId="6" xfId="1" applyNumberFormat="1" applyFont="1" applyFill="1" applyBorder="1" applyAlignment="1">
      <alignment horizontal="center" vertical="center"/>
    </xf>
    <xf numFmtId="0" fontId="4" fillId="15" borderId="30" xfId="1" applyFont="1" applyFill="1" applyBorder="1" applyAlignment="1">
      <alignment horizontal="left" vertical="center" wrapText="1"/>
    </xf>
    <xf numFmtId="0" fontId="4" fillId="15" borderId="37" xfId="1" applyFont="1" applyFill="1" applyBorder="1" applyAlignment="1">
      <alignment horizontal="left" vertical="center" wrapText="1"/>
    </xf>
    <xf numFmtId="0" fontId="4" fillId="15" borderId="32" xfId="1" applyFont="1" applyFill="1" applyBorder="1" applyAlignment="1">
      <alignment horizontal="left" vertical="center" wrapText="1"/>
    </xf>
    <xf numFmtId="164" fontId="10" fillId="3" borderId="7" xfId="1" applyNumberFormat="1" applyFont="1" applyFill="1" applyBorder="1" applyAlignment="1">
      <alignment horizontal="center" vertical="center"/>
    </xf>
    <xf numFmtId="164" fontId="9" fillId="5" borderId="3" xfId="1" applyNumberFormat="1" applyFont="1" applyFill="1" applyBorder="1" applyAlignment="1">
      <alignment horizontal="center" vertical="center"/>
    </xf>
    <xf numFmtId="164" fontId="9" fillId="5" borderId="5" xfId="1" applyNumberFormat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7" borderId="19" xfId="1" applyFont="1" applyFill="1" applyBorder="1" applyAlignment="1">
      <alignment horizontal="left" vertical="center" wrapText="1"/>
    </xf>
    <xf numFmtId="0" fontId="4" fillId="7" borderId="26" xfId="1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4" fillId="15" borderId="7" xfId="1" applyFont="1" applyFill="1" applyBorder="1" applyAlignment="1">
      <alignment horizontal="left" vertical="center" wrapText="1"/>
    </xf>
    <xf numFmtId="164" fontId="10" fillId="0" borderId="3" xfId="1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164" fontId="4" fillId="18" borderId="3" xfId="1" applyNumberFormat="1" applyFont="1" applyFill="1" applyBorder="1" applyAlignment="1">
      <alignment horizontal="center" vertical="center"/>
    </xf>
    <xf numFmtId="164" fontId="4" fillId="18" borderId="5" xfId="1" applyNumberFormat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left" vertical="center" wrapText="1"/>
    </xf>
    <xf numFmtId="0" fontId="9" fillId="3" borderId="13" xfId="1" applyFont="1" applyFill="1" applyBorder="1" applyAlignment="1">
      <alignment horizontal="left" vertical="center" wrapText="1"/>
    </xf>
    <xf numFmtId="0" fontId="4" fillId="0" borderId="37" xfId="1" applyFont="1" applyFill="1" applyBorder="1" applyAlignment="1">
      <alignment horizontal="left" vertical="center" wrapText="1"/>
    </xf>
    <xf numFmtId="0" fontId="4" fillId="7" borderId="13" xfId="1" applyFont="1" applyFill="1" applyBorder="1" applyAlignment="1">
      <alignment horizontal="left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</cellXfs>
  <cellStyles count="4">
    <cellStyle name="Excel Built-in Currency" xfId="3"/>
    <cellStyle name="Excel Built-in Normal 1" xfId="1"/>
    <cellStyle name="Excel Built-in Normal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4"/>
  <sheetViews>
    <sheetView tabSelected="1" topLeftCell="A425" zoomScale="80" zoomScaleNormal="80" workbookViewId="0">
      <selection activeCell="G445" sqref="G445"/>
    </sheetView>
  </sheetViews>
  <sheetFormatPr defaultColWidth="6.140625" defaultRowHeight="15.75"/>
  <cols>
    <col min="1" max="1" width="7.28515625" style="8" customWidth="1"/>
    <col min="2" max="2" width="35.5703125" style="307" customWidth="1"/>
    <col min="3" max="3" width="11.7109375" style="8" customWidth="1"/>
    <col min="4" max="4" width="11" style="8" customWidth="1"/>
    <col min="5" max="5" width="9" style="8" customWidth="1"/>
    <col min="6" max="6" width="14.140625" style="8" customWidth="1"/>
    <col min="7" max="7" width="17.42578125" style="241" customWidth="1"/>
    <col min="8" max="8" width="0.140625" style="47" customWidth="1"/>
    <col min="9" max="9" width="27.7109375" style="336" customWidth="1"/>
    <col min="10" max="10" width="10" customWidth="1"/>
    <col min="12" max="12" width="8.7109375" bestFit="1" customWidth="1"/>
  </cols>
  <sheetData>
    <row r="1" spans="1:9" ht="33.75" customHeight="1">
      <c r="A1" s="577" t="s">
        <v>385</v>
      </c>
      <c r="B1" s="577"/>
      <c r="C1" s="577"/>
      <c r="D1" s="577"/>
      <c r="E1" s="577"/>
      <c r="F1" s="577"/>
      <c r="G1" s="577"/>
      <c r="H1" s="577"/>
      <c r="I1" s="329"/>
    </row>
    <row r="2" spans="1:9" ht="24.75" customHeight="1">
      <c r="A2" s="580" t="s">
        <v>0</v>
      </c>
      <c r="B2" s="581" t="s">
        <v>1</v>
      </c>
      <c r="C2" s="583" t="s">
        <v>2</v>
      </c>
      <c r="D2" s="583"/>
      <c r="E2" s="583" t="s">
        <v>3</v>
      </c>
      <c r="F2" s="585" t="s">
        <v>4</v>
      </c>
      <c r="G2" s="587" t="s">
        <v>306</v>
      </c>
      <c r="H2" s="578" t="s">
        <v>305</v>
      </c>
      <c r="I2" s="329"/>
    </row>
    <row r="3" spans="1:9" ht="27.75" customHeight="1">
      <c r="A3" s="580"/>
      <c r="B3" s="582"/>
      <c r="C3" s="25" t="s">
        <v>384</v>
      </c>
      <c r="D3" s="25" t="s">
        <v>387</v>
      </c>
      <c r="E3" s="584"/>
      <c r="F3" s="586"/>
      <c r="G3" s="588"/>
      <c r="H3" s="579"/>
      <c r="I3" s="329"/>
    </row>
    <row r="4" spans="1:9" ht="18" customHeight="1">
      <c r="A4" s="67">
        <v>1</v>
      </c>
      <c r="B4" s="278" t="s">
        <v>5</v>
      </c>
      <c r="C4" s="398">
        <v>10071</v>
      </c>
      <c r="D4" s="91">
        <f>8220+243+84+220+297+178+222+222+222+148+136-13</f>
        <v>10179</v>
      </c>
      <c r="E4" s="13">
        <f>C4-D4</f>
        <v>-108</v>
      </c>
      <c r="F4" s="9">
        <v>7.33</v>
      </c>
      <c r="G4" s="242"/>
      <c r="H4" s="90">
        <v>-3.39</v>
      </c>
      <c r="I4" s="330"/>
    </row>
    <row r="5" spans="1:9" ht="28.5" customHeight="1">
      <c r="A5" s="67">
        <v>2</v>
      </c>
      <c r="B5" s="278" t="s">
        <v>6</v>
      </c>
      <c r="C5" s="359">
        <v>19838</v>
      </c>
      <c r="D5" s="31">
        <f>15409+237+1+163+305+262+227+195+551+185+162+267+238+262+311+441+140+218</f>
        <v>19574</v>
      </c>
      <c r="E5" s="13">
        <f>C5-D5</f>
        <v>264</v>
      </c>
      <c r="F5" s="9">
        <v>7.33</v>
      </c>
      <c r="G5" s="230">
        <f>E5*F5+H5</f>
        <v>1927.7900000000002</v>
      </c>
      <c r="H5" s="44">
        <v>-7.33</v>
      </c>
      <c r="I5" s="330"/>
    </row>
    <row r="6" spans="1:9" ht="18" customHeight="1">
      <c r="A6" s="485">
        <v>3</v>
      </c>
      <c r="B6" s="589" t="s">
        <v>295</v>
      </c>
      <c r="C6" s="591">
        <v>6877</v>
      </c>
      <c r="D6" s="493">
        <f>3819+294</f>
        <v>4113</v>
      </c>
      <c r="E6" s="13">
        <v>2691</v>
      </c>
      <c r="F6" s="9">
        <v>6.73</v>
      </c>
      <c r="G6" s="473">
        <f>E6*F6+E7*F7+H6</f>
        <v>18640.89</v>
      </c>
      <c r="H6" s="44">
        <v>-4.63</v>
      </c>
      <c r="I6" s="496" t="s">
        <v>357</v>
      </c>
    </row>
    <row r="7" spans="1:9" ht="24" customHeight="1">
      <c r="A7" s="486"/>
      <c r="B7" s="590"/>
      <c r="C7" s="592"/>
      <c r="D7" s="494"/>
      <c r="E7" s="13">
        <v>73</v>
      </c>
      <c r="F7" s="9">
        <v>7.33</v>
      </c>
      <c r="G7" s="497"/>
      <c r="H7" s="254"/>
      <c r="I7" s="496"/>
    </row>
    <row r="8" spans="1:9" ht="15.75" customHeight="1">
      <c r="A8" s="480">
        <v>4</v>
      </c>
      <c r="B8" s="498" t="s">
        <v>8</v>
      </c>
      <c r="C8" s="502">
        <v>7560</v>
      </c>
      <c r="D8" s="493">
        <v>7413</v>
      </c>
      <c r="E8" s="3">
        <v>60</v>
      </c>
      <c r="F8" s="9">
        <v>6.73</v>
      </c>
      <c r="G8" s="473">
        <f>E8*F8+E9*F9+H8</f>
        <v>1041.51</v>
      </c>
      <c r="H8" s="572"/>
      <c r="I8" s="330"/>
    </row>
    <row r="9" spans="1:9" ht="12.75" customHeight="1">
      <c r="A9" s="480"/>
      <c r="B9" s="499"/>
      <c r="C9" s="503"/>
      <c r="D9" s="494"/>
      <c r="E9" s="3">
        <v>87</v>
      </c>
      <c r="F9" s="9">
        <v>7.33</v>
      </c>
      <c r="G9" s="497"/>
      <c r="H9" s="573"/>
      <c r="I9" s="330"/>
    </row>
    <row r="10" spans="1:9" ht="34.5" customHeight="1">
      <c r="A10" s="67">
        <v>5</v>
      </c>
      <c r="B10" s="283" t="s">
        <v>9</v>
      </c>
      <c r="C10" s="3">
        <v>10730</v>
      </c>
      <c r="D10" s="4">
        <f>8525+29+80+47+923+393+384+137</f>
        <v>10518</v>
      </c>
      <c r="E10" s="3">
        <f t="shared" ref="E10:E16" si="0">C10-D10</f>
        <v>212</v>
      </c>
      <c r="F10" s="9">
        <v>7.33</v>
      </c>
      <c r="G10" s="26">
        <f t="shared" ref="G10:G16" si="1">E10*F10+H10</f>
        <v>1553.96</v>
      </c>
      <c r="H10" s="44"/>
      <c r="I10" s="330"/>
    </row>
    <row r="11" spans="1:9" ht="22.5" customHeight="1">
      <c r="A11" s="67">
        <v>6</v>
      </c>
      <c r="B11" s="278" t="s">
        <v>315</v>
      </c>
      <c r="C11" s="65">
        <v>7062</v>
      </c>
      <c r="D11" s="63">
        <f>5585+92+151+77+131+121+101+127+112+127+123+54+65+95</f>
        <v>6961</v>
      </c>
      <c r="E11" s="3">
        <f t="shared" si="0"/>
        <v>101</v>
      </c>
      <c r="F11" s="9">
        <v>7.33</v>
      </c>
      <c r="G11" s="26">
        <f t="shared" si="1"/>
        <v>740.33</v>
      </c>
      <c r="H11" s="62"/>
      <c r="I11" s="330"/>
    </row>
    <row r="12" spans="1:9" ht="15.75" customHeight="1">
      <c r="A12" s="321">
        <v>7</v>
      </c>
      <c r="B12" s="317" t="s">
        <v>310</v>
      </c>
      <c r="C12" s="309">
        <v>8543</v>
      </c>
      <c r="D12" s="310">
        <f>930+693+619+401+451+285+621+579+631+474+516+420+287+95+687+444-5</f>
        <v>8128</v>
      </c>
      <c r="E12" s="3">
        <f t="shared" si="0"/>
        <v>415</v>
      </c>
      <c r="F12" s="9">
        <v>7.33</v>
      </c>
      <c r="G12" s="26">
        <f t="shared" si="1"/>
        <v>3041.95</v>
      </c>
      <c r="H12" s="44"/>
      <c r="I12" s="331"/>
    </row>
    <row r="13" spans="1:9">
      <c r="A13" s="324">
        <v>8</v>
      </c>
      <c r="B13" s="323" t="s">
        <v>363</v>
      </c>
      <c r="C13" s="309">
        <v>8454</v>
      </c>
      <c r="D13" s="310">
        <f>4665+539+674+810+155+303+742+372-18</f>
        <v>8242</v>
      </c>
      <c r="E13" s="3">
        <f t="shared" si="0"/>
        <v>212</v>
      </c>
      <c r="F13" s="9">
        <v>7.33</v>
      </c>
      <c r="G13" s="26">
        <f t="shared" si="1"/>
        <v>1553.96</v>
      </c>
      <c r="H13" s="315"/>
      <c r="I13" s="331"/>
    </row>
    <row r="14" spans="1:9" ht="14.25" customHeight="1">
      <c r="A14" s="382">
        <v>9</v>
      </c>
      <c r="B14" s="383" t="s">
        <v>332</v>
      </c>
      <c r="C14" s="398">
        <v>16965</v>
      </c>
      <c r="D14" s="374">
        <f>12238+843+810+137+617+742+742+1188-101</f>
        <v>17216</v>
      </c>
      <c r="E14" s="3">
        <f t="shared" si="0"/>
        <v>-251</v>
      </c>
      <c r="F14" s="9">
        <v>7.33</v>
      </c>
      <c r="G14" s="26"/>
      <c r="H14" s="394">
        <v>-0.57999999999999996</v>
      </c>
      <c r="I14" s="330"/>
    </row>
    <row r="15" spans="1:9" ht="15.75" customHeight="1">
      <c r="A15" s="382">
        <v>10</v>
      </c>
      <c r="B15" s="383" t="s">
        <v>10</v>
      </c>
      <c r="C15" s="398">
        <v>20617</v>
      </c>
      <c r="D15" s="374">
        <f>17096+337+324+324+324+324+405+371+371+162+297+297+272-99</f>
        <v>20805</v>
      </c>
      <c r="E15" s="3">
        <f t="shared" si="0"/>
        <v>-188</v>
      </c>
      <c r="F15" s="9">
        <v>7.33</v>
      </c>
      <c r="G15" s="375"/>
      <c r="H15" s="394">
        <v>-6.91</v>
      </c>
      <c r="I15" s="330"/>
    </row>
    <row r="16" spans="1:9" ht="33" customHeight="1">
      <c r="A16" s="67">
        <v>11</v>
      </c>
      <c r="B16" s="284" t="s">
        <v>11</v>
      </c>
      <c r="C16" s="32">
        <v>5237</v>
      </c>
      <c r="D16" s="31">
        <f>3697+111+117+100+116+225+74+54+115+130+101+158+65+81</f>
        <v>5144</v>
      </c>
      <c r="E16" s="3">
        <f t="shared" si="0"/>
        <v>93</v>
      </c>
      <c r="F16" s="9">
        <v>7.33</v>
      </c>
      <c r="G16" s="229">
        <f t="shared" si="1"/>
        <v>681.69</v>
      </c>
      <c r="H16" s="44"/>
      <c r="I16" s="330"/>
    </row>
    <row r="17" spans="1:10">
      <c r="A17" s="67">
        <v>12</v>
      </c>
      <c r="B17" s="284" t="s">
        <v>12</v>
      </c>
      <c r="C17" s="518" t="s">
        <v>293</v>
      </c>
      <c r="D17" s="519"/>
      <c r="E17" s="519"/>
      <c r="F17" s="519"/>
      <c r="G17" s="520"/>
      <c r="H17" s="125"/>
      <c r="I17" s="332"/>
    </row>
    <row r="18" spans="1:10" ht="31.5">
      <c r="A18" s="231">
        <v>13</v>
      </c>
      <c r="B18" s="319" t="s">
        <v>13</v>
      </c>
      <c r="C18" s="398">
        <v>498</v>
      </c>
      <c r="D18" s="314">
        <v>934</v>
      </c>
      <c r="E18" s="16">
        <f>C18-D18</f>
        <v>-436</v>
      </c>
      <c r="F18" s="93">
        <v>7.33</v>
      </c>
      <c r="G18" s="26"/>
      <c r="H18" s="187">
        <v>-0.8</v>
      </c>
      <c r="I18" s="330"/>
    </row>
    <row r="19" spans="1:10" ht="15" customHeight="1">
      <c r="A19" s="396">
        <v>14</v>
      </c>
      <c r="B19" s="397" t="s">
        <v>14</v>
      </c>
      <c r="C19" s="398">
        <v>2984</v>
      </c>
      <c r="D19" s="399">
        <f>486+2485</f>
        <v>2971</v>
      </c>
      <c r="E19" s="16">
        <f>C19-D19</f>
        <v>13</v>
      </c>
      <c r="F19" s="93">
        <v>7.33</v>
      </c>
      <c r="G19" s="26">
        <f>E19*F19+H19</f>
        <v>95.29</v>
      </c>
      <c r="H19" s="50"/>
      <c r="I19" s="330"/>
    </row>
    <row r="20" spans="1:10">
      <c r="A20" s="132">
        <v>15</v>
      </c>
      <c r="B20" s="285" t="s">
        <v>15</v>
      </c>
      <c r="C20" s="22">
        <v>2</v>
      </c>
      <c r="D20" s="22">
        <v>0</v>
      </c>
      <c r="E20" s="3">
        <f>C20-D20</f>
        <v>2</v>
      </c>
      <c r="F20" s="9">
        <v>5.93</v>
      </c>
      <c r="G20" s="26">
        <f>E20*F20+H20</f>
        <v>11.86</v>
      </c>
      <c r="H20" s="44"/>
      <c r="I20" s="330" t="s">
        <v>16</v>
      </c>
      <c r="J20" s="2"/>
    </row>
    <row r="21" spans="1:10" ht="21.75" customHeight="1">
      <c r="A21" s="67">
        <v>16</v>
      </c>
      <c r="B21" s="286" t="s">
        <v>330</v>
      </c>
      <c r="C21" s="3">
        <v>84</v>
      </c>
      <c r="D21" s="4">
        <f>39+9+8+4+5+4+1+3+7</f>
        <v>80</v>
      </c>
      <c r="E21" s="3">
        <f>C21-D21</f>
        <v>4</v>
      </c>
      <c r="F21" s="9">
        <v>7.33</v>
      </c>
      <c r="G21" s="26">
        <f t="shared" ref="G21:G22" si="2">E21*F21+H21</f>
        <v>21.990000000000002</v>
      </c>
      <c r="H21" s="44">
        <v>-7.33</v>
      </c>
      <c r="I21" s="330"/>
    </row>
    <row r="22" spans="1:10">
      <c r="A22" s="133">
        <v>17</v>
      </c>
      <c r="B22" s="277" t="s">
        <v>17</v>
      </c>
      <c r="C22" s="83">
        <v>17116</v>
      </c>
      <c r="D22" s="85">
        <f>10314+310+376+250+596+99+800+37+400+200+93+418+350+228+286+252+222+392+190+328+262+276+189</f>
        <v>16868</v>
      </c>
      <c r="E22" s="3">
        <f t="shared" ref="E22" si="3">C22-D22</f>
        <v>248</v>
      </c>
      <c r="F22" s="9">
        <v>7.33</v>
      </c>
      <c r="G22" s="26">
        <f t="shared" si="2"/>
        <v>1810.51</v>
      </c>
      <c r="H22" s="44">
        <v>-7.33</v>
      </c>
      <c r="I22" s="333"/>
    </row>
    <row r="23" spans="1:10" ht="15.75" customHeight="1">
      <c r="A23" s="410">
        <v>18</v>
      </c>
      <c r="B23" s="411" t="s">
        <v>18</v>
      </c>
      <c r="C23" s="452">
        <v>1486</v>
      </c>
      <c r="D23" s="409">
        <f>1556-15</f>
        <v>1541</v>
      </c>
      <c r="E23" s="3">
        <f>C23-D23</f>
        <v>-55</v>
      </c>
      <c r="F23" s="9">
        <v>7.33</v>
      </c>
      <c r="G23" s="26"/>
      <c r="H23" s="394">
        <v>-4.83</v>
      </c>
      <c r="I23" s="330"/>
    </row>
    <row r="24" spans="1:10" ht="30" customHeight="1">
      <c r="A24" s="67">
        <v>19</v>
      </c>
      <c r="B24" s="278" t="s">
        <v>18</v>
      </c>
      <c r="C24" s="398">
        <v>14850</v>
      </c>
      <c r="D24" s="63">
        <f>11774+518+177+324+99+83+14+132+281+276+245+376+129+74+148</f>
        <v>14650</v>
      </c>
      <c r="E24" s="3">
        <f t="shared" ref="E24" si="4">C24-D24</f>
        <v>200</v>
      </c>
      <c r="F24" s="9">
        <v>7.33</v>
      </c>
      <c r="G24" s="26">
        <f t="shared" ref="G23:G24" si="5">E24*F24+H24</f>
        <v>1458</v>
      </c>
      <c r="H24" s="44">
        <v>-8</v>
      </c>
      <c r="I24" s="330"/>
    </row>
    <row r="25" spans="1:10" ht="16.5" customHeight="1">
      <c r="A25" s="485">
        <v>20</v>
      </c>
      <c r="B25" s="601" t="s">
        <v>19</v>
      </c>
      <c r="C25" s="502">
        <v>5487</v>
      </c>
      <c r="D25" s="493">
        <f>1847+605+169+877+236+326+594+371</f>
        <v>5025</v>
      </c>
      <c r="E25" s="3">
        <v>401</v>
      </c>
      <c r="F25" s="9">
        <v>6.73</v>
      </c>
      <c r="G25" s="473">
        <f>E25*F25+E26*F26+H25</f>
        <v>3126.85</v>
      </c>
      <c r="H25" s="44">
        <f>-6.17-0.63-6.66-2.38-3.17</f>
        <v>-19.009999999999998</v>
      </c>
      <c r="I25" s="495" t="s">
        <v>7</v>
      </c>
    </row>
    <row r="26" spans="1:10" ht="17.25" customHeight="1">
      <c r="A26" s="486"/>
      <c r="B26" s="602"/>
      <c r="C26" s="503"/>
      <c r="D26" s="494"/>
      <c r="E26" s="3">
        <v>61</v>
      </c>
      <c r="F26" s="9">
        <v>7.33</v>
      </c>
      <c r="G26" s="497"/>
      <c r="H26" s="254"/>
      <c r="I26" s="495"/>
    </row>
    <row r="27" spans="1:10">
      <c r="A27" s="595">
        <v>21</v>
      </c>
      <c r="B27" s="596" t="s">
        <v>377</v>
      </c>
      <c r="C27" s="489">
        <v>110</v>
      </c>
      <c r="D27" s="489">
        <v>16</v>
      </c>
      <c r="E27" s="3">
        <v>13</v>
      </c>
      <c r="F27" s="9">
        <v>6.73</v>
      </c>
      <c r="G27" s="473">
        <f>E27*F27+E28*F28+H27</f>
        <v>675.76</v>
      </c>
      <c r="H27" s="572">
        <v>-5.46</v>
      </c>
      <c r="I27" s="330" t="s">
        <v>16</v>
      </c>
    </row>
    <row r="28" spans="1:10">
      <c r="A28" s="595"/>
      <c r="B28" s="597"/>
      <c r="C28" s="490"/>
      <c r="D28" s="490"/>
      <c r="E28" s="3">
        <v>81</v>
      </c>
      <c r="F28" s="9">
        <v>7.33</v>
      </c>
      <c r="G28" s="497"/>
      <c r="H28" s="573"/>
      <c r="I28" s="330"/>
    </row>
    <row r="29" spans="1:10">
      <c r="A29" s="480">
        <v>22</v>
      </c>
      <c r="B29" s="593" t="s">
        <v>20</v>
      </c>
      <c r="C29" s="491">
        <f>5394+59+55+106</f>
        <v>5614</v>
      </c>
      <c r="D29" s="493">
        <f>4000+168+324+134+322</f>
        <v>4948</v>
      </c>
      <c r="E29" s="3">
        <v>646</v>
      </c>
      <c r="F29" s="9">
        <v>6.73</v>
      </c>
      <c r="G29" s="473">
        <f>E29*F29+E30*F30+H29</f>
        <v>5123.9199999999992</v>
      </c>
      <c r="H29" s="572">
        <v>-0.64</v>
      </c>
      <c r="I29" s="330" t="s">
        <v>356</v>
      </c>
    </row>
    <row r="30" spans="1:10" ht="31.5">
      <c r="A30" s="480"/>
      <c r="B30" s="594"/>
      <c r="C30" s="492"/>
      <c r="D30" s="494"/>
      <c r="E30" s="3">
        <v>106</v>
      </c>
      <c r="F30" s="9">
        <v>7.33</v>
      </c>
      <c r="G30" s="497"/>
      <c r="H30" s="573"/>
      <c r="I30" s="330" t="s">
        <v>7</v>
      </c>
    </row>
    <row r="31" spans="1:10" ht="16.5" customHeight="1">
      <c r="A31" s="133">
        <v>23</v>
      </c>
      <c r="B31" s="288" t="s">
        <v>21</v>
      </c>
      <c r="C31" s="6">
        <v>499</v>
      </c>
      <c r="D31" s="6">
        <v>472</v>
      </c>
      <c r="E31" s="3">
        <f>C31-D31</f>
        <v>27</v>
      </c>
      <c r="F31" s="9">
        <v>5.93</v>
      </c>
      <c r="G31" s="26">
        <f>E31*F31+H31</f>
        <v>160.10999999999999</v>
      </c>
      <c r="H31" s="44"/>
      <c r="I31" s="330"/>
    </row>
    <row r="32" spans="1:10" ht="29.25" customHeight="1">
      <c r="A32" s="213">
        <v>24</v>
      </c>
      <c r="B32" s="212" t="s">
        <v>22</v>
      </c>
      <c r="C32" s="211">
        <v>125</v>
      </c>
      <c r="D32" s="211">
        <v>119</v>
      </c>
      <c r="E32" s="3">
        <f>C32-D32</f>
        <v>6</v>
      </c>
      <c r="F32" s="9">
        <v>7.33</v>
      </c>
      <c r="G32" s="26">
        <f>E32*F32+H32</f>
        <v>43.980000000000004</v>
      </c>
      <c r="H32" s="44"/>
      <c r="I32" s="330"/>
    </row>
    <row r="33" spans="1:9">
      <c r="A33" s="132">
        <v>25</v>
      </c>
      <c r="B33" s="285" t="s">
        <v>23</v>
      </c>
      <c r="C33" s="5">
        <v>4700</v>
      </c>
      <c r="D33" s="5">
        <v>4658</v>
      </c>
      <c r="E33" s="3">
        <f>C33-D33</f>
        <v>42</v>
      </c>
      <c r="F33" s="9">
        <v>5.93</v>
      </c>
      <c r="G33" s="26">
        <f>E33*F33+H33</f>
        <v>249.06</v>
      </c>
      <c r="H33" s="44"/>
      <c r="I33" s="330" t="s">
        <v>16</v>
      </c>
    </row>
    <row r="34" spans="1:9">
      <c r="A34" s="595">
        <v>26</v>
      </c>
      <c r="B34" s="596" t="s">
        <v>24</v>
      </c>
      <c r="C34" s="489">
        <v>350</v>
      </c>
      <c r="D34" s="489">
        <v>365</v>
      </c>
      <c r="E34" s="3">
        <v>-15</v>
      </c>
      <c r="F34" s="9">
        <v>5.93</v>
      </c>
      <c r="G34" s="473"/>
      <c r="H34" s="572"/>
      <c r="I34" s="330"/>
    </row>
    <row r="35" spans="1:9">
      <c r="A35" s="595"/>
      <c r="B35" s="597"/>
      <c r="C35" s="490"/>
      <c r="D35" s="490"/>
      <c r="E35" s="3"/>
      <c r="F35" s="9">
        <v>6.73</v>
      </c>
      <c r="G35" s="497"/>
      <c r="H35" s="573"/>
      <c r="I35" s="330"/>
    </row>
    <row r="36" spans="1:9" ht="34.5" customHeight="1">
      <c r="A36" s="67">
        <v>27</v>
      </c>
      <c r="B36" s="278" t="s">
        <v>25</v>
      </c>
      <c r="C36" s="82">
        <v>7190</v>
      </c>
      <c r="D36" s="84">
        <f>3367+340+313+229+327+268+129+254+281+282+303+248+160+4+445</f>
        <v>6950</v>
      </c>
      <c r="E36" s="3">
        <f>C36-D36</f>
        <v>240</v>
      </c>
      <c r="F36" s="9">
        <v>7.33</v>
      </c>
      <c r="G36" s="229">
        <f>E36*F36+H36</f>
        <v>1759.2</v>
      </c>
      <c r="H36" s="86"/>
      <c r="I36" s="330"/>
    </row>
    <row r="37" spans="1:9" ht="28.5" customHeight="1">
      <c r="A37" s="67">
        <v>28</v>
      </c>
      <c r="B37" s="278" t="s">
        <v>26</v>
      </c>
      <c r="C37" s="80">
        <v>20846</v>
      </c>
      <c r="D37" s="79">
        <f>16178+347+359+356+373+374+151+11+380+372+420+382+371+274+149+165</f>
        <v>20662</v>
      </c>
      <c r="E37" s="3">
        <f>C37-D37</f>
        <v>184</v>
      </c>
      <c r="F37" s="9">
        <v>7.33</v>
      </c>
      <c r="G37" s="229">
        <f>E37*F37+H37</f>
        <v>1348.72</v>
      </c>
      <c r="H37" s="44"/>
      <c r="I37" s="330"/>
    </row>
    <row r="38" spans="1:9">
      <c r="A38" s="322">
        <v>29</v>
      </c>
      <c r="B38" s="318" t="s">
        <v>339</v>
      </c>
      <c r="C38" s="313">
        <v>1476</v>
      </c>
      <c r="D38" s="313">
        <f>1+50+55+155+153+137+80+186+464+135-3</f>
        <v>1413</v>
      </c>
      <c r="E38" s="3">
        <f>C38-D38</f>
        <v>63</v>
      </c>
      <c r="F38" s="9">
        <v>7.33</v>
      </c>
      <c r="G38" s="311">
        <f>E38*F38+H38</f>
        <v>461.79</v>
      </c>
      <c r="H38" s="315"/>
      <c r="I38" s="330"/>
    </row>
    <row r="39" spans="1:9">
      <c r="A39" s="485">
        <v>30</v>
      </c>
      <c r="B39" s="487" t="s">
        <v>27</v>
      </c>
      <c r="C39" s="491">
        <v>7123</v>
      </c>
      <c r="D39" s="493">
        <f>6030+123+123+172+186+274+9+169+21</f>
        <v>7107</v>
      </c>
      <c r="E39" s="3">
        <v>16</v>
      </c>
      <c r="F39" s="9">
        <v>6.73</v>
      </c>
      <c r="G39" s="473">
        <f t="shared" ref="G39" si="6">E39*F39+E40*F40+H39</f>
        <v>255.48</v>
      </c>
      <c r="H39" s="44">
        <f>-12.76-0.7</f>
        <v>-13.459999999999999</v>
      </c>
      <c r="I39" s="330"/>
    </row>
    <row r="40" spans="1:9">
      <c r="A40" s="486"/>
      <c r="B40" s="488"/>
      <c r="C40" s="492"/>
      <c r="D40" s="494"/>
      <c r="E40" s="3">
        <v>22</v>
      </c>
      <c r="F40" s="9">
        <v>7.33</v>
      </c>
      <c r="G40" s="497"/>
      <c r="H40" s="254"/>
      <c r="I40" s="330"/>
    </row>
    <row r="41" spans="1:9" ht="17.25" customHeight="1">
      <c r="A41" s="485">
        <v>31</v>
      </c>
      <c r="B41" s="487" t="s">
        <v>28</v>
      </c>
      <c r="C41" s="491">
        <v>9120</v>
      </c>
      <c r="D41" s="493">
        <f>8412+165+189+308</f>
        <v>9074</v>
      </c>
      <c r="E41" s="3">
        <v>38</v>
      </c>
      <c r="F41" s="9">
        <v>6.73</v>
      </c>
      <c r="G41" s="473">
        <f t="shared" ref="G41" si="7">E41*F41+E42*F42+H41</f>
        <v>314.38</v>
      </c>
      <c r="H41" s="73"/>
      <c r="I41" s="330"/>
    </row>
    <row r="42" spans="1:9" ht="17.25" customHeight="1">
      <c r="A42" s="486"/>
      <c r="B42" s="488"/>
      <c r="C42" s="492"/>
      <c r="D42" s="494"/>
      <c r="E42" s="3">
        <v>8</v>
      </c>
      <c r="F42" s="9">
        <v>7.33</v>
      </c>
      <c r="G42" s="497"/>
      <c r="H42" s="254"/>
      <c r="I42" s="330"/>
    </row>
    <row r="43" spans="1:9" ht="18" customHeight="1">
      <c r="A43" s="475">
        <v>32</v>
      </c>
      <c r="B43" s="526" t="s">
        <v>29</v>
      </c>
      <c r="C43" s="489">
        <v>2761</v>
      </c>
      <c r="D43" s="489">
        <v>2644</v>
      </c>
      <c r="E43" s="3">
        <f>117-35</f>
        <v>82</v>
      </c>
      <c r="F43" s="9">
        <v>5.93</v>
      </c>
      <c r="G43" s="473">
        <f>E43*F43+E44*F44+E45*F45+H43</f>
        <v>721.81</v>
      </c>
      <c r="H43" s="44"/>
      <c r="I43" s="330" t="s">
        <v>16</v>
      </c>
    </row>
    <row r="44" spans="1:9" ht="19.5" customHeight="1">
      <c r="A44" s="598"/>
      <c r="B44" s="599"/>
      <c r="C44" s="600"/>
      <c r="D44" s="600"/>
      <c r="E44" s="3">
        <v>35</v>
      </c>
      <c r="F44" s="9">
        <v>6.73</v>
      </c>
      <c r="G44" s="474"/>
      <c r="H44" s="228"/>
      <c r="I44" s="330"/>
    </row>
    <row r="45" spans="1:9" ht="19.5" customHeight="1">
      <c r="A45" s="476"/>
      <c r="B45" s="527"/>
      <c r="C45" s="490"/>
      <c r="D45" s="490"/>
      <c r="E45" s="3"/>
      <c r="F45" s="9">
        <v>7.33</v>
      </c>
      <c r="G45" s="497"/>
      <c r="H45" s="254"/>
      <c r="I45" s="330"/>
    </row>
    <row r="46" spans="1:9">
      <c r="A46" s="406">
        <v>33</v>
      </c>
      <c r="B46" s="378" t="s">
        <v>30</v>
      </c>
      <c r="C46" s="398">
        <v>15631</v>
      </c>
      <c r="D46" s="374">
        <f>12252+175+278+142+187+162+162+148+74+487+128+371+148+74+148+74+74+148+148+148</f>
        <v>15528</v>
      </c>
      <c r="E46" s="3">
        <f>C46-D46</f>
        <v>103</v>
      </c>
      <c r="F46" s="9">
        <v>7.33</v>
      </c>
      <c r="G46" s="375">
        <f>E46*F46+H46</f>
        <v>748.94</v>
      </c>
      <c r="H46" s="394">
        <v>-6.05</v>
      </c>
      <c r="I46" s="330"/>
    </row>
    <row r="47" spans="1:9">
      <c r="A47" s="382">
        <v>34</v>
      </c>
      <c r="B47" s="378" t="s">
        <v>31</v>
      </c>
      <c r="C47" s="413">
        <v>6727</v>
      </c>
      <c r="D47" s="374">
        <f>5585+505+360+115+520-95</f>
        <v>6990</v>
      </c>
      <c r="E47" s="3">
        <f>C47-D47</f>
        <v>-263</v>
      </c>
      <c r="F47" s="9">
        <v>7.33</v>
      </c>
      <c r="G47" s="375"/>
      <c r="H47" s="394">
        <v>-1.55</v>
      </c>
      <c r="I47" s="330"/>
    </row>
    <row r="48" spans="1:9">
      <c r="A48" s="480">
        <v>35</v>
      </c>
      <c r="B48" s="498" t="s">
        <v>32</v>
      </c>
      <c r="C48" s="502">
        <v>1506</v>
      </c>
      <c r="D48" s="493">
        <v>1411</v>
      </c>
      <c r="E48" s="3">
        <v>42</v>
      </c>
      <c r="F48" s="9">
        <v>6.73</v>
      </c>
      <c r="G48" s="473">
        <f>E48*F48+E49*F49+H48</f>
        <v>671.15000000000009</v>
      </c>
      <c r="H48" s="572"/>
      <c r="I48" s="330"/>
    </row>
    <row r="49" spans="1:9">
      <c r="A49" s="480"/>
      <c r="B49" s="604"/>
      <c r="C49" s="603"/>
      <c r="D49" s="554"/>
      <c r="E49" s="3">
        <v>53</v>
      </c>
      <c r="F49" s="9">
        <v>7.33</v>
      </c>
      <c r="G49" s="497"/>
      <c r="H49" s="637"/>
      <c r="I49" s="330"/>
    </row>
    <row r="50" spans="1:9" ht="15.75" customHeight="1">
      <c r="A50" s="516">
        <v>36</v>
      </c>
      <c r="B50" s="508" t="s">
        <v>33</v>
      </c>
      <c r="C50" s="502">
        <v>4641</v>
      </c>
      <c r="D50" s="493">
        <v>4570</v>
      </c>
      <c r="E50" s="3">
        <v>43</v>
      </c>
      <c r="F50" s="9">
        <v>5.93</v>
      </c>
      <c r="G50" s="473">
        <f>E50*F50+E51*F51+E52*F52+H50</f>
        <v>443.42999999999995</v>
      </c>
      <c r="H50" s="44"/>
      <c r="I50" s="330"/>
    </row>
    <row r="51" spans="1:9">
      <c r="A51" s="544"/>
      <c r="B51" s="556"/>
      <c r="C51" s="603"/>
      <c r="D51" s="554"/>
      <c r="E51" s="3">
        <v>28</v>
      </c>
      <c r="F51" s="9">
        <v>6.73</v>
      </c>
      <c r="G51" s="474"/>
      <c r="H51" s="43"/>
      <c r="I51" s="330"/>
    </row>
    <row r="52" spans="1:9">
      <c r="A52" s="517"/>
      <c r="B52" s="509"/>
      <c r="C52" s="503"/>
      <c r="D52" s="494"/>
      <c r="E52" s="3"/>
      <c r="F52" s="9">
        <v>7.33</v>
      </c>
      <c r="G52" s="497"/>
      <c r="H52" s="254"/>
      <c r="I52" s="330"/>
    </row>
    <row r="53" spans="1:9">
      <c r="A53" s="384">
        <v>37</v>
      </c>
      <c r="B53" s="386" t="s">
        <v>34</v>
      </c>
      <c r="C53" s="413">
        <v>15858</v>
      </c>
      <c r="D53" s="374">
        <f>13691+1686+721+81+74+74+148-311</f>
        <v>16164</v>
      </c>
      <c r="E53" s="3">
        <f>C53-D53</f>
        <v>-306</v>
      </c>
      <c r="F53" s="9">
        <v>7.33</v>
      </c>
      <c r="G53" s="375"/>
      <c r="H53" s="394">
        <v>-2.4700000000000002</v>
      </c>
      <c r="I53" s="330"/>
    </row>
    <row r="54" spans="1:9" ht="30.75" customHeight="1">
      <c r="A54" s="67">
        <v>38</v>
      </c>
      <c r="B54" s="286" t="s">
        <v>35</v>
      </c>
      <c r="C54" s="6"/>
      <c r="D54" s="4"/>
      <c r="E54" s="3"/>
      <c r="F54" s="9"/>
      <c r="G54" s="26"/>
      <c r="H54" s="44"/>
      <c r="I54" s="330"/>
    </row>
    <row r="55" spans="1:9" ht="34.5" customHeight="1">
      <c r="A55" s="67">
        <v>39</v>
      </c>
      <c r="B55" s="278" t="s">
        <v>329</v>
      </c>
      <c r="C55" s="518" t="s">
        <v>293</v>
      </c>
      <c r="D55" s="519"/>
      <c r="E55" s="519"/>
      <c r="F55" s="519"/>
      <c r="G55" s="520"/>
      <c r="H55" s="43"/>
      <c r="I55" s="330" t="s">
        <v>358</v>
      </c>
    </row>
    <row r="56" spans="1:9">
      <c r="A56" s="382">
        <v>40</v>
      </c>
      <c r="B56" s="378" t="s">
        <v>36</v>
      </c>
      <c r="C56" s="413">
        <v>27486</v>
      </c>
      <c r="D56" s="374">
        <f>20805+505+127+364+486+486+486+162+742+297+445+445+445+445+445+445+445-50</f>
        <v>27525</v>
      </c>
      <c r="E56" s="3">
        <f>C56-D56</f>
        <v>-39</v>
      </c>
      <c r="F56" s="9">
        <v>7.33</v>
      </c>
      <c r="G56" s="375"/>
      <c r="H56" s="394">
        <v>-1.55</v>
      </c>
      <c r="I56" s="330"/>
    </row>
    <row r="57" spans="1:9" ht="30" customHeight="1">
      <c r="A57" s="67">
        <v>41</v>
      </c>
      <c r="B57" s="289" t="s">
        <v>37</v>
      </c>
      <c r="C57" s="16">
        <v>75</v>
      </c>
      <c r="D57" s="4">
        <f>292-4</f>
        <v>288</v>
      </c>
      <c r="E57" s="3">
        <f>C57-D57</f>
        <v>-213</v>
      </c>
      <c r="F57" s="9">
        <v>6.73</v>
      </c>
      <c r="G57" s="26"/>
      <c r="H57" s="44">
        <v>-0.52</v>
      </c>
      <c r="I57" s="330" t="s">
        <v>371</v>
      </c>
    </row>
    <row r="58" spans="1:9" ht="20.25" customHeight="1">
      <c r="A58" s="480">
        <v>42</v>
      </c>
      <c r="B58" s="498" t="s">
        <v>38</v>
      </c>
      <c r="C58" s="502">
        <v>9768</v>
      </c>
      <c r="D58" s="493">
        <f>6685+219+462+366+1+404+371+386+297+1</f>
        <v>9192</v>
      </c>
      <c r="E58" s="3">
        <v>380</v>
      </c>
      <c r="F58" s="9">
        <v>6.73</v>
      </c>
      <c r="G58" s="473">
        <v>3994.43</v>
      </c>
      <c r="H58" s="572"/>
      <c r="I58" s="496" t="s">
        <v>7</v>
      </c>
    </row>
    <row r="59" spans="1:9">
      <c r="A59" s="480"/>
      <c r="B59" s="499"/>
      <c r="C59" s="503"/>
      <c r="D59" s="494"/>
      <c r="E59" s="3">
        <v>196</v>
      </c>
      <c r="F59" s="9">
        <v>7.33</v>
      </c>
      <c r="G59" s="497"/>
      <c r="H59" s="573"/>
      <c r="I59" s="496"/>
    </row>
    <row r="60" spans="1:9" ht="15.75" customHeight="1">
      <c r="A60" s="382">
        <v>43</v>
      </c>
      <c r="B60" s="383" t="s">
        <v>39</v>
      </c>
      <c r="C60" s="398">
        <v>25834</v>
      </c>
      <c r="D60" s="374">
        <f>16600+350+500+350+350+350+350+500+500+150+500+916+298+199+487+400+300+400+400+400+400+600+600+300-80</f>
        <v>26120</v>
      </c>
      <c r="E60" s="3">
        <f>C60-D60</f>
        <v>-286</v>
      </c>
      <c r="F60" s="9">
        <v>7.33</v>
      </c>
      <c r="G60" s="375"/>
      <c r="H60" s="394">
        <v>-6.99</v>
      </c>
      <c r="I60" s="330"/>
    </row>
    <row r="61" spans="1:9">
      <c r="A61" s="382">
        <v>44</v>
      </c>
      <c r="B61" s="378" t="s">
        <v>40</v>
      </c>
      <c r="C61" s="413">
        <v>62</v>
      </c>
      <c r="D61" s="374">
        <f>556+350+20-165</f>
        <v>761</v>
      </c>
      <c r="E61" s="3">
        <f>C61-D61</f>
        <v>-699</v>
      </c>
      <c r="F61" s="9">
        <v>7.33</v>
      </c>
      <c r="G61" s="375"/>
      <c r="H61" s="394">
        <v>-4.13</v>
      </c>
      <c r="I61" s="330"/>
    </row>
    <row r="62" spans="1:9">
      <c r="A62" s="67">
        <v>45</v>
      </c>
      <c r="B62" s="278" t="s">
        <v>41</v>
      </c>
      <c r="C62" s="96">
        <v>8501</v>
      </c>
      <c r="D62" s="95">
        <f>4207+40+608+308+191+1+324+437+58+2+295+401+267+252+222+44+148+89+267</f>
        <v>8161</v>
      </c>
      <c r="E62" s="3">
        <f>C62-D62</f>
        <v>340</v>
      </c>
      <c r="F62" s="9">
        <v>7.33</v>
      </c>
      <c r="G62" s="229">
        <f>E62*F62+H62</f>
        <v>2447.46</v>
      </c>
      <c r="H62" s="94">
        <v>-44.74</v>
      </c>
      <c r="I62" s="330"/>
    </row>
    <row r="63" spans="1:9" ht="19.5" customHeight="1">
      <c r="A63" s="647">
        <v>46</v>
      </c>
      <c r="B63" s="649" t="s">
        <v>42</v>
      </c>
      <c r="C63" s="502">
        <v>2339</v>
      </c>
      <c r="D63" s="493">
        <v>2189</v>
      </c>
      <c r="E63" s="3">
        <v>11</v>
      </c>
      <c r="F63" s="9">
        <v>6.73</v>
      </c>
      <c r="G63" s="473">
        <f>E63*F63+E64*F64+H63</f>
        <v>1090.8700000000001</v>
      </c>
      <c r="H63" s="44">
        <v>-2.0299999999999998</v>
      </c>
      <c r="I63" s="331" t="s">
        <v>43</v>
      </c>
    </row>
    <row r="64" spans="1:9" ht="19.5" customHeight="1">
      <c r="A64" s="648"/>
      <c r="B64" s="650"/>
      <c r="C64" s="503"/>
      <c r="D64" s="494"/>
      <c r="E64" s="3">
        <v>139</v>
      </c>
      <c r="F64" s="9">
        <v>7.33</v>
      </c>
      <c r="G64" s="497"/>
      <c r="H64" s="350"/>
      <c r="I64" s="333"/>
    </row>
    <row r="65" spans="1:9">
      <c r="A65" s="382">
        <v>47</v>
      </c>
      <c r="B65" s="378" t="s">
        <v>44</v>
      </c>
      <c r="C65" s="398">
        <v>6292</v>
      </c>
      <c r="D65" s="374">
        <f>4851+303+200+300+100+91+91+214+275-48</f>
        <v>6377</v>
      </c>
      <c r="E65" s="3">
        <f>C65-D65</f>
        <v>-85</v>
      </c>
      <c r="F65" s="9">
        <v>7.33</v>
      </c>
      <c r="G65" s="26"/>
      <c r="H65" s="394">
        <v>-5.98</v>
      </c>
      <c r="I65" s="330"/>
    </row>
    <row r="66" spans="1:9" ht="28.5" customHeight="1">
      <c r="A66" s="67">
        <v>48</v>
      </c>
      <c r="B66" s="283" t="s">
        <v>361</v>
      </c>
      <c r="C66" s="3">
        <v>9478</v>
      </c>
      <c r="D66" s="4">
        <f>9174+167</f>
        <v>9341</v>
      </c>
      <c r="E66" s="3">
        <f>C66-D66</f>
        <v>137</v>
      </c>
      <c r="F66" s="9">
        <v>7.33</v>
      </c>
      <c r="G66" s="26">
        <f>E66*F66+H66</f>
        <v>996.88</v>
      </c>
      <c r="H66" s="44">
        <v>-7.33</v>
      </c>
      <c r="I66" s="330"/>
    </row>
    <row r="67" spans="1:9" ht="31.5" customHeight="1">
      <c r="A67" s="67">
        <v>49</v>
      </c>
      <c r="B67" s="278" t="s">
        <v>45</v>
      </c>
      <c r="C67" s="551" t="s">
        <v>293</v>
      </c>
      <c r="D67" s="552"/>
      <c r="E67" s="552"/>
      <c r="F67" s="552"/>
      <c r="G67" s="553"/>
      <c r="H67" s="51"/>
      <c r="I67" s="227"/>
    </row>
    <row r="68" spans="1:9" ht="31.5">
      <c r="A68" s="480">
        <v>50</v>
      </c>
      <c r="B68" s="498" t="s">
        <v>46</v>
      </c>
      <c r="C68" s="491">
        <v>6349</v>
      </c>
      <c r="D68" s="493">
        <v>5689</v>
      </c>
      <c r="E68" s="3">
        <v>660</v>
      </c>
      <c r="F68" s="9">
        <v>6.73</v>
      </c>
      <c r="G68" s="473">
        <f>E68*F68+E69*F69+H68</f>
        <v>4440.6000000000004</v>
      </c>
      <c r="H68" s="44">
        <v>-1.2</v>
      </c>
      <c r="I68" s="330" t="s">
        <v>7</v>
      </c>
    </row>
    <row r="69" spans="1:9">
      <c r="A69" s="480"/>
      <c r="B69" s="499"/>
      <c r="C69" s="492"/>
      <c r="D69" s="494"/>
      <c r="E69" s="3">
        <v>0</v>
      </c>
      <c r="F69" s="9">
        <v>7.33</v>
      </c>
      <c r="G69" s="497"/>
      <c r="H69" s="51"/>
      <c r="I69" s="330"/>
    </row>
    <row r="70" spans="1:9">
      <c r="A70" s="132">
        <v>51</v>
      </c>
      <c r="B70" s="285" t="s">
        <v>47</v>
      </c>
      <c r="C70" s="453">
        <v>2843</v>
      </c>
      <c r="D70" s="5">
        <v>2904</v>
      </c>
      <c r="E70" s="3">
        <f>C70-D70</f>
        <v>-61</v>
      </c>
      <c r="F70" s="9">
        <v>5.93</v>
      </c>
      <c r="G70" s="26"/>
      <c r="H70" s="44">
        <v>-0.8</v>
      </c>
      <c r="I70" s="330"/>
    </row>
    <row r="71" spans="1:9">
      <c r="A71" s="384">
        <v>52</v>
      </c>
      <c r="B71" s="386" t="s">
        <v>48</v>
      </c>
      <c r="C71" s="398">
        <v>18164</v>
      </c>
      <c r="D71" s="374">
        <f>13560+1000+1000+2386-49</f>
        <v>17897</v>
      </c>
      <c r="E71" s="3">
        <f>C71-D71</f>
        <v>267</v>
      </c>
      <c r="F71" s="9">
        <v>7.33</v>
      </c>
      <c r="G71" s="26">
        <f>E71*F71+H71</f>
        <v>1954.2400000000002</v>
      </c>
      <c r="H71" s="394">
        <v>-2.87</v>
      </c>
      <c r="I71" s="330"/>
    </row>
    <row r="72" spans="1:9">
      <c r="A72" s="480">
        <v>53</v>
      </c>
      <c r="B72" s="498" t="s">
        <v>49</v>
      </c>
      <c r="C72" s="491">
        <v>927</v>
      </c>
      <c r="D72" s="493">
        <f>788+46+70-1</f>
        <v>903</v>
      </c>
      <c r="E72" s="3">
        <v>21</v>
      </c>
      <c r="F72" s="9">
        <v>6.73</v>
      </c>
      <c r="G72" s="473">
        <f>E72*F72+E73*F73+H72</f>
        <v>163.32000000000002</v>
      </c>
      <c r="H72" s="44"/>
      <c r="I72" s="330"/>
    </row>
    <row r="73" spans="1:9">
      <c r="A73" s="480"/>
      <c r="B73" s="604"/>
      <c r="C73" s="555"/>
      <c r="D73" s="554"/>
      <c r="E73" s="3">
        <v>3</v>
      </c>
      <c r="F73" s="9">
        <v>7.33</v>
      </c>
      <c r="G73" s="497"/>
      <c r="H73" s="44"/>
      <c r="I73" s="330"/>
    </row>
    <row r="74" spans="1:9" ht="17.25" customHeight="1">
      <c r="A74" s="372">
        <v>54</v>
      </c>
      <c r="B74" s="414" t="s">
        <v>50</v>
      </c>
      <c r="C74" s="413">
        <v>112877</v>
      </c>
      <c r="D74" s="374">
        <f>86247+550+568+421+674+675+674+447+421+12+383+476+4+498+676+1019+648+1931+297+1309+690+1485+647+664+445+448+587+494+298+621+757+279+1525+2345+1385+614+620+486+310+306-23</f>
        <v>112913</v>
      </c>
      <c r="E74" s="3">
        <f t="shared" ref="E74:E85" si="8">C74-D74</f>
        <v>-36</v>
      </c>
      <c r="F74" s="9">
        <v>7.33</v>
      </c>
      <c r="G74" s="375"/>
      <c r="H74" s="394">
        <v>-6.34</v>
      </c>
      <c r="I74" s="393"/>
    </row>
    <row r="75" spans="1:9">
      <c r="A75" s="258">
        <v>55</v>
      </c>
      <c r="B75" s="278" t="s">
        <v>51</v>
      </c>
      <c r="C75" s="257">
        <v>38291</v>
      </c>
      <c r="D75" s="255">
        <v>37860</v>
      </c>
      <c r="E75" s="3">
        <f t="shared" si="8"/>
        <v>431</v>
      </c>
      <c r="F75" s="9">
        <v>7.33</v>
      </c>
      <c r="G75" s="256">
        <f t="shared" ref="G74:G85" si="9">E75*F75+H75</f>
        <v>3159.23</v>
      </c>
      <c r="H75" s="254"/>
      <c r="I75" s="227"/>
    </row>
    <row r="76" spans="1:9" ht="32.25" customHeight="1">
      <c r="A76" s="142">
        <v>56</v>
      </c>
      <c r="B76" s="278" t="s">
        <v>52</v>
      </c>
      <c r="C76" s="144">
        <v>14411</v>
      </c>
      <c r="D76" s="143">
        <f>10383+508+190+513+263+536+888+555+424</f>
        <v>14260</v>
      </c>
      <c r="E76" s="3">
        <f t="shared" si="8"/>
        <v>151</v>
      </c>
      <c r="F76" s="9">
        <v>7.33</v>
      </c>
      <c r="G76" s="229">
        <f t="shared" si="9"/>
        <v>1106.83</v>
      </c>
      <c r="H76" s="145"/>
      <c r="I76" s="227"/>
    </row>
    <row r="77" spans="1:9" ht="21.75" customHeight="1">
      <c r="A77" s="133">
        <v>57</v>
      </c>
      <c r="B77" s="283" t="s">
        <v>53</v>
      </c>
      <c r="C77" s="3">
        <v>5488</v>
      </c>
      <c r="D77" s="4">
        <v>5463</v>
      </c>
      <c r="E77" s="3">
        <f t="shared" si="8"/>
        <v>25</v>
      </c>
      <c r="F77" s="9">
        <v>7.33</v>
      </c>
      <c r="G77" s="229">
        <f t="shared" si="9"/>
        <v>183.25</v>
      </c>
      <c r="H77" s="44"/>
      <c r="I77" s="330"/>
    </row>
    <row r="78" spans="1:9" ht="21" customHeight="1">
      <c r="A78" s="382">
        <v>58</v>
      </c>
      <c r="B78" s="378" t="s">
        <v>54</v>
      </c>
      <c r="C78" s="398">
        <v>8743</v>
      </c>
      <c r="D78" s="374">
        <f>440+810+810+810+101+650+742+742+742+742+742+742+742-100</f>
        <v>8715</v>
      </c>
      <c r="E78" s="3">
        <f t="shared" si="8"/>
        <v>28</v>
      </c>
      <c r="F78" s="9">
        <v>7.33</v>
      </c>
      <c r="G78" s="375">
        <f t="shared" si="9"/>
        <v>199.39000000000001</v>
      </c>
      <c r="H78" s="394">
        <v>-5.85</v>
      </c>
      <c r="I78" s="330" t="s">
        <v>307</v>
      </c>
    </row>
    <row r="79" spans="1:9" ht="28.5" customHeight="1">
      <c r="A79" s="308">
        <v>59</v>
      </c>
      <c r="B79" s="312" t="s">
        <v>364</v>
      </c>
      <c r="C79" s="320">
        <v>3206</v>
      </c>
      <c r="D79" s="314">
        <f>292+243+358+291+416+300+300+700+120-21</f>
        <v>2999</v>
      </c>
      <c r="E79" s="16">
        <f t="shared" si="8"/>
        <v>207</v>
      </c>
      <c r="F79" s="93">
        <v>7.33</v>
      </c>
      <c r="G79" s="311">
        <f t="shared" si="9"/>
        <v>1515.71</v>
      </c>
      <c r="H79" s="315">
        <v>-1.6</v>
      </c>
      <c r="I79" s="330" t="s">
        <v>307</v>
      </c>
    </row>
    <row r="80" spans="1:9" ht="24" customHeight="1">
      <c r="A80" s="384">
        <v>60</v>
      </c>
      <c r="B80" s="400" t="s">
        <v>55</v>
      </c>
      <c r="C80" s="401">
        <v>1758</v>
      </c>
      <c r="D80" s="374">
        <f>522+594+586</f>
        <v>1702</v>
      </c>
      <c r="E80" s="16">
        <f t="shared" si="8"/>
        <v>56</v>
      </c>
      <c r="F80" s="93">
        <v>7.33</v>
      </c>
      <c r="G80" s="375">
        <f t="shared" si="9"/>
        <v>410.48</v>
      </c>
      <c r="H80" s="165"/>
      <c r="I80" s="393" t="s">
        <v>386</v>
      </c>
    </row>
    <row r="81" spans="1:9" ht="18" customHeight="1">
      <c r="A81" s="382">
        <v>61</v>
      </c>
      <c r="B81" s="391" t="s">
        <v>56</v>
      </c>
      <c r="C81" s="413">
        <v>14062</v>
      </c>
      <c r="D81" s="374">
        <f>10755+337+243+311+243+297+297+371+742+371+371-57</f>
        <v>14281</v>
      </c>
      <c r="E81" s="16">
        <f t="shared" si="8"/>
        <v>-219</v>
      </c>
      <c r="F81" s="93">
        <v>7.33</v>
      </c>
      <c r="G81" s="375"/>
      <c r="H81" s="394">
        <v>-5.73</v>
      </c>
      <c r="I81" s="330"/>
    </row>
    <row r="82" spans="1:9">
      <c r="A82" s="258">
        <v>62</v>
      </c>
      <c r="B82" s="278" t="s">
        <v>297</v>
      </c>
      <c r="C82" s="257">
        <v>14633</v>
      </c>
      <c r="D82" s="255">
        <v>14401</v>
      </c>
      <c r="E82" s="3">
        <f t="shared" si="8"/>
        <v>232</v>
      </c>
      <c r="F82" s="9">
        <v>7.33</v>
      </c>
      <c r="G82" s="256">
        <f t="shared" si="9"/>
        <v>1700.56</v>
      </c>
      <c r="H82" s="51">
        <v>0</v>
      </c>
      <c r="I82" s="330"/>
    </row>
    <row r="83" spans="1:9" ht="31.5">
      <c r="A83" s="67">
        <v>63</v>
      </c>
      <c r="B83" s="278" t="s">
        <v>57</v>
      </c>
      <c r="C83" s="398">
        <v>7453</v>
      </c>
      <c r="D83" s="100">
        <f>3592+638+252+855+422+962+163+31+79+270</f>
        <v>7264</v>
      </c>
      <c r="E83" s="3">
        <f t="shared" si="8"/>
        <v>189</v>
      </c>
      <c r="F83" s="9">
        <v>7.33</v>
      </c>
      <c r="G83" s="375">
        <f t="shared" si="9"/>
        <v>1378.93</v>
      </c>
      <c r="H83" s="44">
        <v>-6.44</v>
      </c>
      <c r="I83" s="227"/>
    </row>
    <row r="84" spans="1:9" ht="20.25" customHeight="1">
      <c r="A84" s="377">
        <v>64</v>
      </c>
      <c r="B84" s="376" t="s">
        <v>58</v>
      </c>
      <c r="C84" s="373">
        <v>4294</v>
      </c>
      <c r="D84" s="374">
        <f>2139+695+142+162+83+72+297+297+23+148+61+216</f>
        <v>4335</v>
      </c>
      <c r="E84" s="3">
        <f t="shared" si="8"/>
        <v>-41</v>
      </c>
      <c r="F84" s="9">
        <v>7.33</v>
      </c>
      <c r="G84" s="375"/>
      <c r="H84" s="44">
        <f>-6.3-1.19-1.19-3.12-3.96-6.19</f>
        <v>-21.950000000000003</v>
      </c>
      <c r="I84" s="330"/>
    </row>
    <row r="85" spans="1:9" ht="15.75" customHeight="1">
      <c r="A85" s="382">
        <v>65</v>
      </c>
      <c r="B85" s="378" t="s">
        <v>336</v>
      </c>
      <c r="C85" s="457">
        <v>6895</v>
      </c>
      <c r="D85" s="456">
        <f>5624+168+406+222+222+163</f>
        <v>6805</v>
      </c>
      <c r="E85" s="454">
        <f t="shared" si="8"/>
        <v>90</v>
      </c>
      <c r="F85" s="455">
        <v>7.33</v>
      </c>
      <c r="G85" s="451">
        <f t="shared" si="9"/>
        <v>655.8900000000001</v>
      </c>
      <c r="H85" s="51">
        <v>-3.81</v>
      </c>
      <c r="I85" s="330"/>
    </row>
    <row r="86" spans="1:9" ht="30.75" customHeight="1">
      <c r="A86" s="67">
        <v>66</v>
      </c>
      <c r="B86" s="278" t="s">
        <v>59</v>
      </c>
      <c r="C86" s="565" t="s">
        <v>293</v>
      </c>
      <c r="D86" s="566"/>
      <c r="E86" s="566"/>
      <c r="F86" s="566"/>
      <c r="G86" s="566"/>
      <c r="H86" s="567"/>
      <c r="I86" s="227"/>
    </row>
    <row r="87" spans="1:9" ht="33" customHeight="1">
      <c r="A87" s="133">
        <v>67</v>
      </c>
      <c r="B87" s="291" t="s">
        <v>60</v>
      </c>
      <c r="C87" s="543" t="s">
        <v>293</v>
      </c>
      <c r="D87" s="543"/>
      <c r="E87" s="543"/>
      <c r="F87" s="543"/>
      <c r="G87" s="543"/>
      <c r="H87" s="543"/>
      <c r="I87" s="330"/>
    </row>
    <row r="88" spans="1:9">
      <c r="A88" s="67">
        <v>68</v>
      </c>
      <c r="B88" s="278" t="s">
        <v>61</v>
      </c>
      <c r="C88" s="458">
        <v>1500</v>
      </c>
      <c r="D88" s="131">
        <f>571+148+742-10</f>
        <v>1451</v>
      </c>
      <c r="E88" s="3">
        <f>C88-D88</f>
        <v>49</v>
      </c>
      <c r="F88" s="9">
        <v>7.33</v>
      </c>
      <c r="G88" s="26">
        <f>E88*F88+H88</f>
        <v>358.46000000000004</v>
      </c>
      <c r="H88" s="130">
        <v>-0.71</v>
      </c>
      <c r="I88" s="330" t="s">
        <v>340</v>
      </c>
    </row>
    <row r="89" spans="1:9" ht="31.5">
      <c r="A89" s="67">
        <v>69</v>
      </c>
      <c r="B89" s="278" t="s">
        <v>365</v>
      </c>
      <c r="C89" s="119">
        <v>986</v>
      </c>
      <c r="D89" s="118">
        <f>371-20+404</f>
        <v>755</v>
      </c>
      <c r="E89" s="3">
        <f>C89-D89</f>
        <v>231</v>
      </c>
      <c r="F89" s="9">
        <v>7.33</v>
      </c>
      <c r="G89" s="26">
        <f>E89*F89+H89</f>
        <v>1685.98</v>
      </c>
      <c r="H89" s="117">
        <v>-7.25</v>
      </c>
      <c r="I89" s="330" t="s">
        <v>340</v>
      </c>
    </row>
    <row r="90" spans="1:9" ht="18.75" customHeight="1">
      <c r="A90" s="475">
        <v>70</v>
      </c>
      <c r="B90" s="526" t="s">
        <v>62</v>
      </c>
      <c r="C90" s="489">
        <v>2937</v>
      </c>
      <c r="D90" s="489">
        <v>2646</v>
      </c>
      <c r="E90" s="3">
        <v>103</v>
      </c>
      <c r="F90" s="9">
        <v>5.93</v>
      </c>
      <c r="G90" s="473">
        <f>E90*F90+E91*F91+E92*F92+H90</f>
        <v>1896.43</v>
      </c>
      <c r="H90" s="44"/>
      <c r="I90" s="330" t="s">
        <v>16</v>
      </c>
    </row>
    <row r="91" spans="1:9" ht="16.5" customHeight="1">
      <c r="A91" s="598"/>
      <c r="B91" s="599"/>
      <c r="C91" s="600"/>
      <c r="D91" s="600"/>
      <c r="E91" s="3">
        <f>30+25+36+35+28</f>
        <v>154</v>
      </c>
      <c r="F91" s="9">
        <v>6.73</v>
      </c>
      <c r="G91" s="474"/>
      <c r="H91" s="51"/>
      <c r="I91" s="330"/>
    </row>
    <row r="92" spans="1:9" ht="18" customHeight="1">
      <c r="A92" s="476"/>
      <c r="B92" s="527"/>
      <c r="C92" s="490"/>
      <c r="D92" s="490"/>
      <c r="E92" s="3">
        <v>34</v>
      </c>
      <c r="F92" s="9">
        <v>7.33</v>
      </c>
      <c r="G92" s="497"/>
      <c r="H92" s="51"/>
      <c r="I92" s="330"/>
    </row>
    <row r="93" spans="1:9" ht="28.5" customHeight="1">
      <c r="A93" s="132">
        <v>71</v>
      </c>
      <c r="B93" s="285" t="s">
        <v>63</v>
      </c>
      <c r="C93" s="453">
        <v>14</v>
      </c>
      <c r="D93" s="5">
        <f>145-11</f>
        <v>134</v>
      </c>
      <c r="E93" s="3">
        <f>C93-D93</f>
        <v>-120</v>
      </c>
      <c r="F93" s="9">
        <v>7.33</v>
      </c>
      <c r="G93" s="26"/>
      <c r="H93" s="44">
        <v>-2.0299999999999998</v>
      </c>
      <c r="I93" s="330" t="s">
        <v>16</v>
      </c>
    </row>
    <row r="94" spans="1:9">
      <c r="A94" s="347">
        <v>72</v>
      </c>
      <c r="B94" s="346" t="s">
        <v>64</v>
      </c>
      <c r="C94" s="413">
        <v>8020</v>
      </c>
      <c r="D94" s="345">
        <f>5910+315+160+125+119+134+28+20+58+197+179+116+105+79+131+74+120+151-1</f>
        <v>8020</v>
      </c>
      <c r="E94" s="3">
        <f>C94-D94</f>
        <v>0</v>
      </c>
      <c r="F94" s="9">
        <v>6.73</v>
      </c>
      <c r="G94" s="26"/>
      <c r="H94" s="348">
        <v>-0.39</v>
      </c>
      <c r="I94" s="330"/>
    </row>
    <row r="95" spans="1:9">
      <c r="A95" s="67">
        <v>73</v>
      </c>
      <c r="B95" s="278" t="s">
        <v>65</v>
      </c>
      <c r="C95" s="398">
        <v>14269</v>
      </c>
      <c r="D95" s="78">
        <f>11193+337+97+210+486+84+73+280+461+311+193+153+178</f>
        <v>14056</v>
      </c>
      <c r="E95" s="52">
        <f>C95-D95</f>
        <v>213</v>
      </c>
      <c r="F95" s="35">
        <v>7.33</v>
      </c>
      <c r="G95" s="229">
        <f>E95*F95+H95</f>
        <v>1530.24</v>
      </c>
      <c r="H95" s="75">
        <f>-10.92-1.38-1.43-0.6-2.47-3.97-1.11-5.31-2.06-1.8</f>
        <v>-31.049999999999997</v>
      </c>
      <c r="I95" s="330"/>
    </row>
    <row r="96" spans="1:9">
      <c r="A96" s="480">
        <v>74</v>
      </c>
      <c r="B96" s="635" t="s">
        <v>359</v>
      </c>
      <c r="C96" s="491">
        <v>1493</v>
      </c>
      <c r="D96" s="493">
        <v>1414</v>
      </c>
      <c r="E96" s="70">
        <v>26</v>
      </c>
      <c r="F96" s="9">
        <v>6.73</v>
      </c>
      <c r="G96" s="473">
        <f>E96*F96+E97*F97+H96</f>
        <v>560.05000000000007</v>
      </c>
      <c r="H96" s="572">
        <v>-3.42</v>
      </c>
      <c r="I96" s="330"/>
    </row>
    <row r="97" spans="1:10">
      <c r="A97" s="480"/>
      <c r="B97" s="636"/>
      <c r="C97" s="555"/>
      <c r="D97" s="554"/>
      <c r="E97" s="3">
        <v>53</v>
      </c>
      <c r="F97" s="9">
        <v>7.33</v>
      </c>
      <c r="G97" s="474"/>
      <c r="H97" s="637"/>
      <c r="I97" s="330"/>
    </row>
    <row r="98" spans="1:10">
      <c r="A98" s="193">
        <v>75</v>
      </c>
      <c r="B98" s="278" t="s">
        <v>66</v>
      </c>
      <c r="C98" s="398">
        <v>3179</v>
      </c>
      <c r="D98" s="195">
        <f>2345+66+114+250+290</f>
        <v>3065</v>
      </c>
      <c r="E98" s="3">
        <f>C98-D98</f>
        <v>114</v>
      </c>
      <c r="F98" s="9">
        <v>7.33</v>
      </c>
      <c r="G98" s="26">
        <f t="shared" ref="G98" si="10">E98*F98+H98</f>
        <v>821.16</v>
      </c>
      <c r="H98" s="194">
        <v>-14.46</v>
      </c>
      <c r="I98" s="330"/>
      <c r="J98" s="459">
        <v>21.79</v>
      </c>
    </row>
    <row r="99" spans="1:10" ht="21.75" customHeight="1">
      <c r="A99" s="384">
        <v>76</v>
      </c>
      <c r="B99" s="386" t="s">
        <v>67</v>
      </c>
      <c r="C99" s="380">
        <v>3955</v>
      </c>
      <c r="D99" s="374">
        <f>299+624+210+243+220+244+891+445+297+179+244</f>
        <v>3896</v>
      </c>
      <c r="E99" s="16">
        <f>C99-D99</f>
        <v>59</v>
      </c>
      <c r="F99" s="93">
        <v>7.33</v>
      </c>
      <c r="G99" s="26">
        <f>E99*F99+H99</f>
        <v>410.6</v>
      </c>
      <c r="H99" s="55">
        <f>-5.15-3.57-5.15-1.19-6.81</f>
        <v>-21.87</v>
      </c>
      <c r="I99" s="330" t="s">
        <v>43</v>
      </c>
    </row>
    <row r="100" spans="1:10" ht="31.5">
      <c r="A100" s="214">
        <v>77</v>
      </c>
      <c r="B100" s="292" t="s">
        <v>68</v>
      </c>
      <c r="C100" s="215">
        <v>2</v>
      </c>
      <c r="D100" s="215">
        <v>0</v>
      </c>
      <c r="E100" s="216">
        <f>C100-D100</f>
        <v>2</v>
      </c>
      <c r="F100" s="217">
        <v>5.93</v>
      </c>
      <c r="G100" s="26">
        <f>E100*F100+H100</f>
        <v>11.86</v>
      </c>
      <c r="H100" s="50"/>
      <c r="I100" s="330" t="s">
        <v>374</v>
      </c>
    </row>
    <row r="101" spans="1:10">
      <c r="A101" s="480">
        <v>78</v>
      </c>
      <c r="B101" s="498" t="s">
        <v>350</v>
      </c>
      <c r="C101" s="491">
        <v>4411</v>
      </c>
      <c r="D101" s="641">
        <f>3520+580+101+56+56-1</f>
        <v>4312</v>
      </c>
      <c r="E101" s="3">
        <v>99</v>
      </c>
      <c r="F101" s="9">
        <v>6.73</v>
      </c>
      <c r="G101" s="473">
        <f>E101*F101+E102*F102+H101</f>
        <v>666.2700000000001</v>
      </c>
      <c r="H101" s="572"/>
      <c r="I101" s="330"/>
    </row>
    <row r="102" spans="1:10">
      <c r="A102" s="480"/>
      <c r="B102" s="499"/>
      <c r="C102" s="492"/>
      <c r="D102" s="642"/>
      <c r="E102" s="3">
        <v>0</v>
      </c>
      <c r="F102" s="9">
        <v>7.33</v>
      </c>
      <c r="G102" s="497"/>
      <c r="H102" s="573"/>
      <c r="I102" s="330"/>
    </row>
    <row r="103" spans="1:10" ht="31.5">
      <c r="A103" s="132">
        <v>79</v>
      </c>
      <c r="B103" s="285" t="s">
        <v>362</v>
      </c>
      <c r="C103" s="5">
        <v>2</v>
      </c>
      <c r="D103" s="5">
        <v>2</v>
      </c>
      <c r="E103" s="3">
        <f>C103-D103</f>
        <v>0</v>
      </c>
      <c r="F103" s="9">
        <v>7.33</v>
      </c>
      <c r="G103" s="26"/>
      <c r="H103" s="44"/>
      <c r="I103" s="330" t="s">
        <v>16</v>
      </c>
    </row>
    <row r="104" spans="1:10" ht="15.75" customHeight="1">
      <c r="A104" s="384">
        <v>80</v>
      </c>
      <c r="B104" s="386" t="s">
        <v>314</v>
      </c>
      <c r="C104" s="398">
        <v>6845</v>
      </c>
      <c r="D104" s="374">
        <f>5538+168+110+56+243+162+104+104+104+104+148-5</f>
        <v>6836</v>
      </c>
      <c r="E104" s="3">
        <f>C104-D104</f>
        <v>9</v>
      </c>
      <c r="F104" s="9">
        <v>7.33</v>
      </c>
      <c r="G104" s="26">
        <f>E104*F104+H104</f>
        <v>62.75</v>
      </c>
      <c r="H104" s="394">
        <v>-3.22</v>
      </c>
      <c r="I104" s="330"/>
    </row>
    <row r="105" spans="1:10" ht="31.5">
      <c r="A105" s="485">
        <v>81</v>
      </c>
      <c r="B105" s="487" t="s">
        <v>69</v>
      </c>
      <c r="C105" s="491">
        <v>6260</v>
      </c>
      <c r="D105" s="493">
        <f>4996+207+97+157+81+266</f>
        <v>5804</v>
      </c>
      <c r="E105" s="3">
        <v>336</v>
      </c>
      <c r="F105" s="9">
        <v>6.73</v>
      </c>
      <c r="G105" s="473">
        <f>E105*F105+E106*F106+H105</f>
        <v>3140.88</v>
      </c>
      <c r="H105" s="109"/>
      <c r="I105" s="330" t="s">
        <v>7</v>
      </c>
    </row>
    <row r="106" spans="1:10">
      <c r="A106" s="486"/>
      <c r="B106" s="488"/>
      <c r="C106" s="492"/>
      <c r="D106" s="494"/>
      <c r="E106" s="3">
        <v>120</v>
      </c>
      <c r="F106" s="9">
        <v>7.33</v>
      </c>
      <c r="G106" s="497"/>
      <c r="H106" s="254"/>
      <c r="I106" s="330"/>
    </row>
    <row r="107" spans="1:10" ht="20.25" customHeight="1">
      <c r="A107" s="485">
        <v>82</v>
      </c>
      <c r="B107" s="487" t="s">
        <v>70</v>
      </c>
      <c r="C107" s="491">
        <v>9805</v>
      </c>
      <c r="D107" s="493">
        <f>6879+820+550+541+246+742+4</f>
        <v>9782</v>
      </c>
      <c r="E107" s="3">
        <f>6-4</f>
        <v>2</v>
      </c>
      <c r="F107" s="9">
        <v>6.73</v>
      </c>
      <c r="G107" s="473">
        <f>E107*F107+E108*F108+H107</f>
        <v>153.93</v>
      </c>
      <c r="H107" s="44">
        <f>-6.45-6.34-0.67</f>
        <v>-13.459999999999999</v>
      </c>
      <c r="I107" s="227"/>
    </row>
    <row r="108" spans="1:10" ht="17.25" customHeight="1">
      <c r="A108" s="486"/>
      <c r="B108" s="488"/>
      <c r="C108" s="492"/>
      <c r="D108" s="494"/>
      <c r="E108" s="3">
        <v>21</v>
      </c>
      <c r="F108" s="9">
        <v>7.33</v>
      </c>
      <c r="G108" s="497"/>
      <c r="H108" s="254"/>
      <c r="I108" s="333"/>
    </row>
    <row r="109" spans="1:10">
      <c r="A109" s="480">
        <v>83</v>
      </c>
      <c r="B109" s="498" t="s">
        <v>71</v>
      </c>
      <c r="C109" s="491">
        <v>990</v>
      </c>
      <c r="D109" s="493">
        <v>897</v>
      </c>
      <c r="E109" s="3">
        <v>80</v>
      </c>
      <c r="F109" s="9">
        <v>6.73</v>
      </c>
      <c r="G109" s="473">
        <f>E109*F109+E110*F110+H109</f>
        <v>627.70000000000005</v>
      </c>
      <c r="H109" s="572">
        <v>-5.99</v>
      </c>
      <c r="I109" s="330"/>
    </row>
    <row r="110" spans="1:10">
      <c r="A110" s="480"/>
      <c r="B110" s="499"/>
      <c r="C110" s="492"/>
      <c r="D110" s="494"/>
      <c r="E110" s="3">
        <v>13</v>
      </c>
      <c r="F110" s="9">
        <v>7.33</v>
      </c>
      <c r="G110" s="497"/>
      <c r="H110" s="573"/>
      <c r="I110" s="330"/>
    </row>
    <row r="111" spans="1:10">
      <c r="A111" s="321">
        <v>84</v>
      </c>
      <c r="B111" s="317" t="s">
        <v>72</v>
      </c>
      <c r="C111" s="309">
        <v>12679</v>
      </c>
      <c r="D111" s="310">
        <f>9900+140+103+240+416+490+269+293+309+50+50+15+69+169-14</f>
        <v>12499</v>
      </c>
      <c r="E111" s="3">
        <f>C111-D111</f>
        <v>180</v>
      </c>
      <c r="F111" s="9">
        <v>7.33</v>
      </c>
      <c r="G111" s="311">
        <f>E111*F111+H111</f>
        <v>1319.4</v>
      </c>
      <c r="H111" s="315"/>
      <c r="I111" s="330"/>
    </row>
    <row r="112" spans="1:10">
      <c r="A112" s="382">
        <v>85</v>
      </c>
      <c r="B112" s="378" t="s">
        <v>73</v>
      </c>
      <c r="C112" s="398">
        <v>7322</v>
      </c>
      <c r="D112" s="374">
        <f>7430+445-53</f>
        <v>7822</v>
      </c>
      <c r="E112" s="3">
        <f>C112-D112</f>
        <v>-500</v>
      </c>
      <c r="F112" s="9">
        <v>7.33</v>
      </c>
      <c r="G112" s="375"/>
      <c r="H112" s="394">
        <v>-4.68</v>
      </c>
      <c r="I112" s="330"/>
    </row>
    <row r="113" spans="1:9" ht="27" customHeight="1">
      <c r="A113" s="67">
        <v>86</v>
      </c>
      <c r="B113" s="286" t="s">
        <v>74</v>
      </c>
      <c r="C113" s="10"/>
      <c r="D113" s="11"/>
      <c r="E113" s="3"/>
      <c r="F113" s="9"/>
      <c r="G113" s="26"/>
      <c r="H113" s="44"/>
      <c r="I113" s="330"/>
    </row>
    <row r="114" spans="1:9">
      <c r="A114" s="480">
        <v>87</v>
      </c>
      <c r="B114" s="498" t="s">
        <v>75</v>
      </c>
      <c r="C114" s="491">
        <v>15904</v>
      </c>
      <c r="D114" s="493">
        <f>12283+843+180+313+486+445+445+297+297-1</f>
        <v>15588</v>
      </c>
      <c r="E114" s="3">
        <v>116</v>
      </c>
      <c r="F114" s="9">
        <v>6.73</v>
      </c>
      <c r="G114" s="473">
        <f>E114*F114+E115*F115+H114</f>
        <v>2240.8500000000004</v>
      </c>
      <c r="H114" s="572">
        <v>-5.83</v>
      </c>
      <c r="I114" s="330"/>
    </row>
    <row r="115" spans="1:9">
      <c r="A115" s="480"/>
      <c r="B115" s="499"/>
      <c r="C115" s="492"/>
      <c r="D115" s="494"/>
      <c r="E115" s="3">
        <v>200</v>
      </c>
      <c r="F115" s="9">
        <v>7.33</v>
      </c>
      <c r="G115" s="497"/>
      <c r="H115" s="573"/>
      <c r="I115" s="330"/>
    </row>
    <row r="116" spans="1:9">
      <c r="A116" s="516">
        <v>88</v>
      </c>
      <c r="B116" s="609" t="s">
        <v>75</v>
      </c>
      <c r="C116" s="502">
        <v>108</v>
      </c>
      <c r="D116" s="606">
        <v>82</v>
      </c>
      <c r="E116" s="3">
        <v>12</v>
      </c>
      <c r="F116" s="9">
        <v>6.17</v>
      </c>
      <c r="G116" s="473">
        <f>E116*F116+E117*F117+E118*F118+H116</f>
        <v>165.76000000000002</v>
      </c>
      <c r="H116" s="572">
        <v>-6.1</v>
      </c>
      <c r="I116" s="330"/>
    </row>
    <row r="117" spans="1:9">
      <c r="A117" s="544"/>
      <c r="B117" s="610"/>
      <c r="C117" s="603"/>
      <c r="D117" s="607"/>
      <c r="E117" s="3">
        <f>2+4+1+1</f>
        <v>8</v>
      </c>
      <c r="F117" s="9">
        <v>6.73</v>
      </c>
      <c r="G117" s="474"/>
      <c r="H117" s="573"/>
      <c r="I117" s="330"/>
    </row>
    <row r="118" spans="1:9">
      <c r="A118" s="517"/>
      <c r="B118" s="611"/>
      <c r="C118" s="503"/>
      <c r="D118" s="608"/>
      <c r="E118" s="3">
        <v>6</v>
      </c>
      <c r="F118" s="9">
        <v>7.33</v>
      </c>
      <c r="G118" s="497"/>
      <c r="H118" s="316"/>
      <c r="I118" s="330"/>
    </row>
    <row r="119" spans="1:9" ht="15.75" customHeight="1">
      <c r="A119" s="159">
        <v>89</v>
      </c>
      <c r="B119" s="293" t="s">
        <v>76</v>
      </c>
      <c r="C119" s="168">
        <v>10481</v>
      </c>
      <c r="D119" s="167">
        <f>8707+78+297+57+707+350+98</f>
        <v>10294</v>
      </c>
      <c r="E119" s="3">
        <f>C119-D119</f>
        <v>187</v>
      </c>
      <c r="F119" s="9">
        <v>7.33</v>
      </c>
      <c r="G119" s="229">
        <f>E119*F119+H119</f>
        <v>1370.71</v>
      </c>
      <c r="H119" s="169"/>
      <c r="I119" s="334"/>
    </row>
    <row r="120" spans="1:9" ht="15.75" customHeight="1">
      <c r="A120" s="382">
        <v>90</v>
      </c>
      <c r="B120" s="391" t="s">
        <v>77</v>
      </c>
      <c r="C120" s="398">
        <v>3291</v>
      </c>
      <c r="D120" s="374">
        <f>2195+100+80+249+100+85+27+85+167+36+43+68-2</f>
        <v>3233</v>
      </c>
      <c r="E120" s="3">
        <f>C120-D120</f>
        <v>58</v>
      </c>
      <c r="F120" s="9">
        <v>7.33</v>
      </c>
      <c r="G120" s="375">
        <f>E120*F120+H120</f>
        <v>420.13</v>
      </c>
      <c r="H120" s="394">
        <v>-5.01</v>
      </c>
      <c r="I120" s="330"/>
    </row>
    <row r="121" spans="1:9">
      <c r="A121" s="605">
        <v>91</v>
      </c>
      <c r="B121" s="635" t="s">
        <v>320</v>
      </c>
      <c r="C121" s="491">
        <v>7696</v>
      </c>
      <c r="D121" s="493">
        <v>7513</v>
      </c>
      <c r="E121" s="3">
        <v>42</v>
      </c>
      <c r="F121" s="9">
        <v>6.73</v>
      </c>
      <c r="G121" s="473">
        <f>E121*F121+E122*F122+H121</f>
        <v>1312.39</v>
      </c>
      <c r="H121" s="572">
        <v>-3.8</v>
      </c>
      <c r="I121" s="330"/>
    </row>
    <row r="122" spans="1:9">
      <c r="A122" s="605"/>
      <c r="B122" s="646"/>
      <c r="C122" s="492"/>
      <c r="D122" s="494"/>
      <c r="E122" s="3">
        <v>141</v>
      </c>
      <c r="F122" s="9">
        <v>7.33</v>
      </c>
      <c r="G122" s="497"/>
      <c r="H122" s="573"/>
      <c r="I122" s="330"/>
    </row>
    <row r="123" spans="1:9" ht="31.5">
      <c r="A123" s="132">
        <v>92</v>
      </c>
      <c r="B123" s="285" t="s">
        <v>78</v>
      </c>
      <c r="C123" s="5">
        <v>215</v>
      </c>
      <c r="D123" s="5">
        <v>215</v>
      </c>
      <c r="E123" s="3">
        <f>C123-D123</f>
        <v>0</v>
      </c>
      <c r="F123" s="9">
        <v>7.33</v>
      </c>
      <c r="G123" s="26"/>
      <c r="H123" s="44"/>
      <c r="I123" s="330" t="s">
        <v>16</v>
      </c>
    </row>
    <row r="124" spans="1:9">
      <c r="A124" s="382">
        <v>93</v>
      </c>
      <c r="B124" s="378" t="s">
        <v>79</v>
      </c>
      <c r="C124" s="398">
        <v>3619</v>
      </c>
      <c r="D124" s="374">
        <f>3295+341-27</f>
        <v>3609</v>
      </c>
      <c r="E124" s="3">
        <f>C124-D124</f>
        <v>10</v>
      </c>
      <c r="F124" s="9">
        <v>7.33</v>
      </c>
      <c r="G124" s="26">
        <f>E124*F124+H124</f>
        <v>72.259999999999991</v>
      </c>
      <c r="H124" s="394">
        <v>-1.04</v>
      </c>
      <c r="I124" s="330"/>
    </row>
    <row r="125" spans="1:9">
      <c r="A125" s="485">
        <v>94</v>
      </c>
      <c r="B125" s="487" t="s">
        <v>80</v>
      </c>
      <c r="C125" s="491">
        <v>47</v>
      </c>
      <c r="D125" s="493">
        <f>29+8+2+1+6</f>
        <v>46</v>
      </c>
      <c r="E125" s="3">
        <v>1</v>
      </c>
      <c r="F125" s="9">
        <v>6.73</v>
      </c>
      <c r="G125" s="473">
        <f>E125*F125+E126*F126+H125</f>
        <v>6.73</v>
      </c>
      <c r="H125" s="177"/>
      <c r="I125" s="330"/>
    </row>
    <row r="126" spans="1:9">
      <c r="A126" s="486"/>
      <c r="B126" s="488"/>
      <c r="C126" s="492"/>
      <c r="D126" s="494"/>
      <c r="E126" s="3"/>
      <c r="F126" s="9">
        <v>7.33</v>
      </c>
      <c r="G126" s="497"/>
      <c r="H126" s="272"/>
      <c r="I126" s="330"/>
    </row>
    <row r="127" spans="1:9" ht="31.5">
      <c r="A127" s="485">
        <v>95</v>
      </c>
      <c r="B127" s="487" t="s">
        <v>80</v>
      </c>
      <c r="C127" s="491">
        <v>13702</v>
      </c>
      <c r="D127" s="493">
        <f>10311+819+218+466+530+108+290</f>
        <v>12742</v>
      </c>
      <c r="E127" s="3">
        <v>930</v>
      </c>
      <c r="F127" s="9">
        <v>6.73</v>
      </c>
      <c r="G127" s="473">
        <f>E127*F127+E128*F128+H127</f>
        <v>6473.99</v>
      </c>
      <c r="H127" s="120">
        <f>-3.06-1.75</f>
        <v>-4.8100000000000005</v>
      </c>
      <c r="I127" s="330" t="s">
        <v>7</v>
      </c>
    </row>
    <row r="128" spans="1:9">
      <c r="A128" s="486"/>
      <c r="B128" s="488"/>
      <c r="C128" s="492"/>
      <c r="D128" s="494"/>
      <c r="E128" s="3">
        <v>30</v>
      </c>
      <c r="F128" s="9">
        <v>7.33</v>
      </c>
      <c r="G128" s="497"/>
      <c r="H128" s="272"/>
      <c r="I128" s="330"/>
    </row>
    <row r="129" spans="1:9">
      <c r="A129" s="479">
        <v>96</v>
      </c>
      <c r="B129" s="531" t="s">
        <v>81</v>
      </c>
      <c r="C129" s="502">
        <v>3472</v>
      </c>
      <c r="D129" s="533">
        <f>1631+337+117+211+364+445+222</f>
        <v>3327</v>
      </c>
      <c r="E129" s="3">
        <v>63</v>
      </c>
      <c r="F129" s="9">
        <v>6.73</v>
      </c>
      <c r="G129" s="473">
        <f>E129*F129+E130*F130+H129</f>
        <v>1004.41</v>
      </c>
      <c r="H129" s="572">
        <v>-5.98</v>
      </c>
      <c r="I129" s="330"/>
    </row>
    <row r="130" spans="1:9">
      <c r="A130" s="479"/>
      <c r="B130" s="532"/>
      <c r="C130" s="503"/>
      <c r="D130" s="534"/>
      <c r="E130" s="3">
        <v>80</v>
      </c>
      <c r="F130" s="9">
        <v>7.33</v>
      </c>
      <c r="G130" s="497"/>
      <c r="H130" s="573"/>
      <c r="I130" s="330"/>
    </row>
    <row r="131" spans="1:9">
      <c r="A131" s="485">
        <v>97</v>
      </c>
      <c r="B131" s="487" t="s">
        <v>82</v>
      </c>
      <c r="C131" s="502">
        <v>6233</v>
      </c>
      <c r="D131" s="493">
        <f>5239+320+191+286+132+17</f>
        <v>6185</v>
      </c>
      <c r="E131" s="3">
        <v>48</v>
      </c>
      <c r="F131" s="9">
        <v>6.73</v>
      </c>
      <c r="G131" s="473">
        <f>E131*F131+E132*F132+H131</f>
        <v>323.04000000000002</v>
      </c>
      <c r="H131" s="114"/>
      <c r="I131" s="330"/>
    </row>
    <row r="132" spans="1:9">
      <c r="A132" s="486"/>
      <c r="B132" s="488"/>
      <c r="C132" s="503"/>
      <c r="D132" s="494"/>
      <c r="E132" s="3"/>
      <c r="F132" s="9">
        <v>7.33</v>
      </c>
      <c r="G132" s="497"/>
      <c r="H132" s="272"/>
      <c r="I132" s="330"/>
    </row>
    <row r="133" spans="1:9" ht="21" customHeight="1">
      <c r="A133" s="475">
        <v>98</v>
      </c>
      <c r="B133" s="526" t="s">
        <v>83</v>
      </c>
      <c r="C133" s="489">
        <v>2680</v>
      </c>
      <c r="D133" s="489">
        <f>961+131+122+532+642</f>
        <v>2388</v>
      </c>
      <c r="E133" s="3">
        <v>239</v>
      </c>
      <c r="F133" s="9">
        <v>6.73</v>
      </c>
      <c r="G133" s="473">
        <f>E133*F133+E134*F134+H133</f>
        <v>1996.96</v>
      </c>
      <c r="H133" s="176"/>
      <c r="I133" s="227"/>
    </row>
    <row r="134" spans="1:9" ht="18" customHeight="1">
      <c r="A134" s="476"/>
      <c r="B134" s="527"/>
      <c r="C134" s="490"/>
      <c r="D134" s="490"/>
      <c r="E134" s="3">
        <v>53</v>
      </c>
      <c r="F134" s="9">
        <v>7.33</v>
      </c>
      <c r="G134" s="497"/>
      <c r="H134" s="272"/>
      <c r="I134" s="333"/>
    </row>
    <row r="135" spans="1:9" ht="15.75" customHeight="1">
      <c r="A135" s="382">
        <v>99</v>
      </c>
      <c r="B135" s="378" t="s">
        <v>84</v>
      </c>
      <c r="C135" s="413">
        <v>32031</v>
      </c>
      <c r="D135" s="374">
        <f>27242+1000+594+1000+1000+594+742-41</f>
        <v>32131</v>
      </c>
      <c r="E135" s="3">
        <f>C135-D135</f>
        <v>-100</v>
      </c>
      <c r="F135" s="9">
        <v>7.33</v>
      </c>
      <c r="G135" s="375"/>
      <c r="H135" s="394">
        <v>-0.04</v>
      </c>
      <c r="I135" s="330"/>
    </row>
    <row r="136" spans="1:9">
      <c r="A136" s="382">
        <v>100</v>
      </c>
      <c r="B136" s="378" t="s">
        <v>85</v>
      </c>
      <c r="C136" s="398">
        <v>6171</v>
      </c>
      <c r="D136" s="374">
        <f>4967+143+372+148+133+74+74+37+126-7</f>
        <v>6067</v>
      </c>
      <c r="E136" s="3">
        <f>C136-D136</f>
        <v>104</v>
      </c>
      <c r="F136" s="9">
        <v>7.33</v>
      </c>
      <c r="G136" s="375">
        <f t="shared" ref="G136" si="11">E136*F136+H136</f>
        <v>756.99</v>
      </c>
      <c r="H136" s="394">
        <v>-5.33</v>
      </c>
      <c r="I136" s="330"/>
    </row>
    <row r="137" spans="1:9">
      <c r="A137" s="382">
        <v>101</v>
      </c>
      <c r="B137" s="391" t="s">
        <v>86</v>
      </c>
      <c r="C137" s="398">
        <v>6985</v>
      </c>
      <c r="D137" s="374">
        <f>4448+674+554+532+1040-68</f>
        <v>7180</v>
      </c>
      <c r="E137" s="3">
        <f>C137-D137</f>
        <v>-195</v>
      </c>
      <c r="F137" s="9">
        <v>7.33</v>
      </c>
      <c r="G137" s="375"/>
      <c r="H137" s="394">
        <v>-2.68</v>
      </c>
      <c r="I137" s="330"/>
    </row>
    <row r="138" spans="1:9" ht="27" customHeight="1">
      <c r="A138" s="67">
        <v>102</v>
      </c>
      <c r="B138" s="294" t="s">
        <v>74</v>
      </c>
      <c r="C138" s="10"/>
      <c r="D138" s="11"/>
      <c r="E138" s="3"/>
      <c r="F138" s="9"/>
      <c r="G138" s="26"/>
      <c r="H138" s="44"/>
      <c r="I138" s="330"/>
    </row>
    <row r="139" spans="1:9" ht="30" customHeight="1">
      <c r="A139" s="67">
        <v>103</v>
      </c>
      <c r="B139" s="261" t="s">
        <v>87</v>
      </c>
      <c r="C139" s="64">
        <v>7167</v>
      </c>
      <c r="D139" s="63">
        <f>5182+114+52+46+530+442+128+73+296+158</f>
        <v>7021</v>
      </c>
      <c r="E139" s="16">
        <f>C139-D139</f>
        <v>146</v>
      </c>
      <c r="F139" s="9">
        <v>7.33</v>
      </c>
      <c r="G139" s="26">
        <f>E139*F139+H139</f>
        <v>1062.8500000000001</v>
      </c>
      <c r="H139" s="62">
        <v>-7.33</v>
      </c>
      <c r="I139" s="330"/>
    </row>
    <row r="140" spans="1:9" ht="31.5">
      <c r="A140" s="67">
        <v>104</v>
      </c>
      <c r="B140" s="286" t="s">
        <v>88</v>
      </c>
      <c r="C140" s="3">
        <v>7576</v>
      </c>
      <c r="D140" s="4">
        <f>6175+8+168+42+162+54+122+28+30+105+86+53+90+100+26+9+4+16+18+114+84</f>
        <v>7494</v>
      </c>
      <c r="E140" s="16">
        <f>C140-D140</f>
        <v>82</v>
      </c>
      <c r="F140" s="9">
        <v>7.33</v>
      </c>
      <c r="G140" s="26">
        <f>E140*F140+H140</f>
        <v>579.07000000000005</v>
      </c>
      <c r="H140" s="44">
        <v>-21.99</v>
      </c>
      <c r="I140" s="330"/>
    </row>
    <row r="141" spans="1:9" ht="15.75" customHeight="1">
      <c r="A141" s="208">
        <v>105</v>
      </c>
      <c r="B141" s="259" t="s">
        <v>89</v>
      </c>
      <c r="C141" s="209">
        <v>3079</v>
      </c>
      <c r="D141" s="209">
        <f>2746+228+93</f>
        <v>3067</v>
      </c>
      <c r="E141" s="16">
        <f>C141-D141</f>
        <v>12</v>
      </c>
      <c r="F141" s="9">
        <v>7.33</v>
      </c>
      <c r="G141" s="26">
        <f t="shared" ref="G141" si="12">E141*F141+H141</f>
        <v>87.960000000000008</v>
      </c>
      <c r="H141" s="210"/>
      <c r="I141" s="330"/>
    </row>
    <row r="142" spans="1:9">
      <c r="A142" s="485">
        <v>106</v>
      </c>
      <c r="B142" s="487" t="s">
        <v>90</v>
      </c>
      <c r="C142" s="491">
        <v>6223</v>
      </c>
      <c r="D142" s="493">
        <f>5368+222+129+189</f>
        <v>5908</v>
      </c>
      <c r="E142" s="3">
        <v>315</v>
      </c>
      <c r="F142" s="9">
        <v>6.73</v>
      </c>
      <c r="G142" s="473">
        <f>E142*F142+E143*F143+H142</f>
        <v>2119.9500000000003</v>
      </c>
      <c r="H142" s="170"/>
      <c r="I142" s="330"/>
    </row>
    <row r="143" spans="1:9">
      <c r="A143" s="486"/>
      <c r="B143" s="488"/>
      <c r="C143" s="492"/>
      <c r="D143" s="494"/>
      <c r="E143" s="3"/>
      <c r="F143" s="9">
        <v>7.33</v>
      </c>
      <c r="G143" s="497"/>
      <c r="H143" s="272"/>
      <c r="I143" s="330"/>
    </row>
    <row r="144" spans="1:9" ht="31.5">
      <c r="A144" s="67">
        <v>107</v>
      </c>
      <c r="B144" s="278" t="s">
        <v>351</v>
      </c>
      <c r="C144" s="413">
        <v>7844</v>
      </c>
      <c r="D144" s="63">
        <f>843+1686+652+183+64+324+342+280+148+445+445+475+271+84+78+74+29+44+148+81+520+594+445-55</f>
        <v>8200</v>
      </c>
      <c r="E144" s="3">
        <f>C144-D144</f>
        <v>-356</v>
      </c>
      <c r="F144" s="9">
        <v>7.33</v>
      </c>
      <c r="G144" s="26"/>
      <c r="H144" s="62">
        <v>-4.68</v>
      </c>
      <c r="I144" s="330" t="s">
        <v>353</v>
      </c>
    </row>
    <row r="145" spans="1:9">
      <c r="A145" s="480">
        <v>108</v>
      </c>
      <c r="B145" s="498" t="s">
        <v>303</v>
      </c>
      <c r="C145" s="491">
        <v>5368</v>
      </c>
      <c r="D145" s="493">
        <f>4473+194+222+386-3</f>
        <v>5272</v>
      </c>
      <c r="E145" s="3">
        <v>8</v>
      </c>
      <c r="F145" s="9">
        <v>6.73</v>
      </c>
      <c r="G145" s="473">
        <f>E145*F145+E146*F146+H145</f>
        <v>698.88</v>
      </c>
      <c r="H145" s="572"/>
      <c r="I145" s="330"/>
    </row>
    <row r="146" spans="1:9">
      <c r="A146" s="480"/>
      <c r="B146" s="499"/>
      <c r="C146" s="492"/>
      <c r="D146" s="494"/>
      <c r="E146" s="3">
        <v>88</v>
      </c>
      <c r="F146" s="9">
        <v>7.33</v>
      </c>
      <c r="G146" s="497"/>
      <c r="H146" s="573"/>
      <c r="I146" s="330"/>
    </row>
    <row r="147" spans="1:9">
      <c r="A147" s="132">
        <v>109</v>
      </c>
      <c r="B147" s="285" t="s">
        <v>91</v>
      </c>
      <c r="C147" s="5">
        <v>811</v>
      </c>
      <c r="D147" s="5">
        <v>811</v>
      </c>
      <c r="E147" s="12">
        <f>C147-D147</f>
        <v>0</v>
      </c>
      <c r="F147" s="9">
        <v>7.33</v>
      </c>
      <c r="G147" s="26"/>
      <c r="H147" s="44"/>
      <c r="I147" s="330" t="s">
        <v>16</v>
      </c>
    </row>
    <row r="148" spans="1:9">
      <c r="A148" s="132">
        <v>110</v>
      </c>
      <c r="B148" s="285" t="s">
        <v>92</v>
      </c>
      <c r="C148" s="5">
        <v>4501</v>
      </c>
      <c r="D148" s="5">
        <f>4535+66</f>
        <v>4601</v>
      </c>
      <c r="E148" s="12">
        <f>C148-D148</f>
        <v>-100</v>
      </c>
      <c r="F148" s="9">
        <v>6.73</v>
      </c>
      <c r="G148" s="26"/>
      <c r="H148" s="44"/>
      <c r="I148" s="330" t="s">
        <v>16</v>
      </c>
    </row>
    <row r="149" spans="1:9" ht="17.25" customHeight="1">
      <c r="A149" s="612">
        <v>111</v>
      </c>
      <c r="B149" s="506" t="s">
        <v>93</v>
      </c>
      <c r="C149" s="504">
        <v>4253</v>
      </c>
      <c r="D149" s="504">
        <f>34+333+837+1059+171+1206</f>
        <v>3640</v>
      </c>
      <c r="E149" s="13">
        <v>580</v>
      </c>
      <c r="F149" s="9">
        <v>6.73</v>
      </c>
      <c r="G149" s="473">
        <f>E149*F149+E150*F150+H149</f>
        <v>4145.29</v>
      </c>
      <c r="H149" s="61"/>
      <c r="I149" s="496" t="s">
        <v>7</v>
      </c>
    </row>
    <row r="150" spans="1:9" ht="15.75" customHeight="1">
      <c r="A150" s="613"/>
      <c r="B150" s="507"/>
      <c r="C150" s="505"/>
      <c r="D150" s="505"/>
      <c r="E150" s="13">
        <v>33</v>
      </c>
      <c r="F150" s="9">
        <v>7.33</v>
      </c>
      <c r="G150" s="497"/>
      <c r="H150" s="272"/>
      <c r="I150" s="496"/>
    </row>
    <row r="151" spans="1:9">
      <c r="A151" s="384">
        <v>112</v>
      </c>
      <c r="B151" s="412" t="s">
        <v>94</v>
      </c>
      <c r="C151" s="398">
        <v>4712</v>
      </c>
      <c r="D151" s="374">
        <f>4249+18+102+494-31</f>
        <v>4832</v>
      </c>
      <c r="E151" s="3">
        <f t="shared" ref="E151:E157" si="13">C151-D151</f>
        <v>-120</v>
      </c>
      <c r="F151" s="9">
        <v>7.33</v>
      </c>
      <c r="G151" s="375"/>
      <c r="H151" s="394">
        <v>-0.31</v>
      </c>
      <c r="I151" s="330"/>
    </row>
    <row r="152" spans="1:9" ht="31.5" customHeight="1">
      <c r="A152" s="67">
        <v>113</v>
      </c>
      <c r="B152" s="283" t="s">
        <v>95</v>
      </c>
      <c r="C152" s="6">
        <v>11487</v>
      </c>
      <c r="D152" s="4">
        <f>8944+111+486+426+77+60+198+233+282+312+141</f>
        <v>11270</v>
      </c>
      <c r="E152" s="3">
        <f t="shared" si="13"/>
        <v>217</v>
      </c>
      <c r="F152" s="9">
        <v>7.33</v>
      </c>
      <c r="G152" s="26">
        <f t="shared" ref="G151:G157" si="14">E152*F152+H152</f>
        <v>1575.95</v>
      </c>
      <c r="H152" s="44">
        <v>-14.66</v>
      </c>
      <c r="I152" s="330"/>
    </row>
    <row r="153" spans="1:9">
      <c r="A153" s="405">
        <v>114</v>
      </c>
      <c r="B153" s="404" t="s">
        <v>96</v>
      </c>
      <c r="C153" s="460">
        <v>594</v>
      </c>
      <c r="D153" s="392">
        <f>791-31</f>
        <v>760</v>
      </c>
      <c r="E153" s="3">
        <f t="shared" si="13"/>
        <v>-166</v>
      </c>
      <c r="F153" s="9">
        <v>7.33</v>
      </c>
      <c r="G153" s="375"/>
      <c r="H153" s="394">
        <v>-4.8</v>
      </c>
      <c r="I153" s="330"/>
    </row>
    <row r="154" spans="1:9" ht="15.75" customHeight="1">
      <c r="A154" s="403">
        <v>115</v>
      </c>
      <c r="B154" s="390" t="s">
        <v>97</v>
      </c>
      <c r="C154" s="413">
        <v>53806</v>
      </c>
      <c r="D154" s="415">
        <f>48933+324+162+162+162+324+148+297+297+371+297+148+148+297+594+106+79+222+91+178+200+49+235-148</f>
        <v>53676</v>
      </c>
      <c r="E154" s="3">
        <f t="shared" si="13"/>
        <v>130</v>
      </c>
      <c r="F154" s="9">
        <v>7.33</v>
      </c>
      <c r="G154" s="26">
        <f t="shared" si="14"/>
        <v>948.29</v>
      </c>
      <c r="H154" s="394">
        <v>-4.6100000000000003</v>
      </c>
      <c r="I154" s="330"/>
    </row>
    <row r="155" spans="1:9">
      <c r="A155" s="382">
        <v>116</v>
      </c>
      <c r="B155" s="391" t="s">
        <v>98</v>
      </c>
      <c r="C155" s="398">
        <v>29302</v>
      </c>
      <c r="D155" s="374">
        <f>20209+474+300+702+400+600+300+300+249+252+248+124+113+256+737+429+460+437+340+74+46+94+447+222+189+632+415+418-24</f>
        <v>29443</v>
      </c>
      <c r="E155" s="3">
        <f t="shared" si="13"/>
        <v>-141</v>
      </c>
      <c r="F155" s="9">
        <v>7.33</v>
      </c>
      <c r="G155" s="375"/>
      <c r="H155" s="44">
        <v>-5.33</v>
      </c>
      <c r="I155" s="330"/>
    </row>
    <row r="156" spans="1:9">
      <c r="A156" s="382">
        <v>117</v>
      </c>
      <c r="B156" s="378" t="s">
        <v>99</v>
      </c>
      <c r="C156" s="398">
        <v>5504</v>
      </c>
      <c r="D156" s="374">
        <f>4620+324+371+445+297-75</f>
        <v>5982</v>
      </c>
      <c r="E156" s="3">
        <f t="shared" si="13"/>
        <v>-478</v>
      </c>
      <c r="F156" s="9">
        <v>7.33</v>
      </c>
      <c r="G156" s="26"/>
      <c r="H156" s="394"/>
      <c r="I156" s="330"/>
    </row>
    <row r="157" spans="1:9">
      <c r="A157" s="353">
        <v>118</v>
      </c>
      <c r="B157" s="352" t="s">
        <v>298</v>
      </c>
      <c r="C157" s="351">
        <v>21972</v>
      </c>
      <c r="D157" s="354">
        <v>21500</v>
      </c>
      <c r="E157" s="3">
        <f t="shared" si="13"/>
        <v>472</v>
      </c>
      <c r="F157" s="9">
        <v>7.33</v>
      </c>
      <c r="G157" s="349">
        <f t="shared" si="14"/>
        <v>3459.76</v>
      </c>
      <c r="H157" s="350"/>
      <c r="I157" s="330"/>
    </row>
    <row r="158" spans="1:9">
      <c r="A158" s="480">
        <v>119</v>
      </c>
      <c r="B158" s="498" t="s">
        <v>298</v>
      </c>
      <c r="C158" s="491">
        <v>1699</v>
      </c>
      <c r="D158" s="493">
        <v>1668</v>
      </c>
      <c r="E158" s="3">
        <v>9</v>
      </c>
      <c r="F158" s="9">
        <v>6.73</v>
      </c>
      <c r="G158" s="473">
        <f t="shared" ref="G158" si="15">E158*F158+E159*F159+H158</f>
        <v>221.82999999999998</v>
      </c>
      <c r="H158" s="572"/>
      <c r="I158" s="330"/>
    </row>
    <row r="159" spans="1:9">
      <c r="A159" s="480"/>
      <c r="B159" s="499"/>
      <c r="C159" s="492"/>
      <c r="D159" s="494"/>
      <c r="E159" s="3">
        <v>22</v>
      </c>
      <c r="F159" s="9">
        <v>7.33</v>
      </c>
      <c r="G159" s="497"/>
      <c r="H159" s="573"/>
      <c r="I159" s="330"/>
    </row>
    <row r="160" spans="1:9">
      <c r="A160" s="438">
        <v>120</v>
      </c>
      <c r="B160" s="440" t="s">
        <v>100</v>
      </c>
      <c r="C160" s="425">
        <v>33</v>
      </c>
      <c r="D160" s="425">
        <f>193-26</f>
        <v>167</v>
      </c>
      <c r="E160" s="3">
        <f>C160-D160</f>
        <v>-134</v>
      </c>
      <c r="F160" s="9">
        <v>7.33</v>
      </c>
      <c r="G160" s="419"/>
      <c r="H160" s="436">
        <v>-8.09</v>
      </c>
      <c r="I160" s="330" t="s">
        <v>16</v>
      </c>
    </row>
    <row r="161" spans="1:9">
      <c r="A161" s="382">
        <v>121</v>
      </c>
      <c r="B161" s="378" t="s">
        <v>101</v>
      </c>
      <c r="C161" s="373">
        <v>13289</v>
      </c>
      <c r="D161" s="374">
        <f>13145+3+134</f>
        <v>13282</v>
      </c>
      <c r="E161" s="3">
        <f>C161-D161</f>
        <v>7</v>
      </c>
      <c r="F161" s="9">
        <v>7.33</v>
      </c>
      <c r="G161" s="419">
        <f>E161*F161+H161</f>
        <v>44.650000000000006</v>
      </c>
      <c r="H161" s="394">
        <f>-6.06-0.6</f>
        <v>-6.6599999999999993</v>
      </c>
      <c r="I161" s="330"/>
    </row>
    <row r="162" spans="1:9" ht="15.75" customHeight="1">
      <c r="A162" s="480">
        <v>122</v>
      </c>
      <c r="B162" s="575" t="s">
        <v>102</v>
      </c>
      <c r="C162" s="481">
        <v>2983</v>
      </c>
      <c r="D162" s="482">
        <f>2535+224+72</f>
        <v>2831</v>
      </c>
      <c r="E162" s="280">
        <f>C162-D162</f>
        <v>152</v>
      </c>
      <c r="F162" s="19">
        <v>6.73</v>
      </c>
      <c r="G162" s="574">
        <f>E162*F162+E163*F163+H162</f>
        <v>1022.96</v>
      </c>
      <c r="H162" s="140"/>
      <c r="I162" s="330"/>
    </row>
    <row r="163" spans="1:9" ht="15.75" customHeight="1">
      <c r="A163" s="480"/>
      <c r="B163" s="575"/>
      <c r="C163" s="481"/>
      <c r="D163" s="482"/>
      <c r="E163" s="280"/>
      <c r="F163" s="19">
        <v>7.33</v>
      </c>
      <c r="G163" s="574"/>
      <c r="H163" s="272"/>
      <c r="I163" s="330"/>
    </row>
    <row r="164" spans="1:9">
      <c r="A164" s="282">
        <v>123</v>
      </c>
      <c r="B164" s="325" t="s">
        <v>103</v>
      </c>
      <c r="C164" s="326">
        <v>1</v>
      </c>
      <c r="D164" s="327">
        <v>0</v>
      </c>
      <c r="E164" s="326">
        <f>C164-D164</f>
        <v>1</v>
      </c>
      <c r="F164" s="328">
        <v>7.33</v>
      </c>
      <c r="G164" s="269">
        <f>E164*F164+H164</f>
        <v>7.33</v>
      </c>
      <c r="H164" s="51"/>
      <c r="I164" s="330" t="s">
        <v>382</v>
      </c>
    </row>
    <row r="165" spans="1:9" ht="27" customHeight="1">
      <c r="A165" s="67">
        <v>124</v>
      </c>
      <c r="B165" s="295" t="s">
        <v>104</v>
      </c>
      <c r="C165" s="543" t="s">
        <v>293</v>
      </c>
      <c r="D165" s="543"/>
      <c r="E165" s="543"/>
      <c r="F165" s="543"/>
      <c r="G165" s="543"/>
      <c r="H165" s="543"/>
      <c r="I165" s="330"/>
    </row>
    <row r="166" spans="1:9" ht="30" customHeight="1">
      <c r="A166" s="67">
        <v>125</v>
      </c>
      <c r="B166" s="278" t="s">
        <v>105</v>
      </c>
      <c r="C166" s="458">
        <v>22324</v>
      </c>
      <c r="D166" s="203">
        <f>17535+337+280+195+177+153+356+411+61+371+260+297+445+445+148+443+178</f>
        <v>22092</v>
      </c>
      <c r="E166" s="202">
        <f>C166-D166</f>
        <v>232</v>
      </c>
      <c r="F166" s="18">
        <v>7.33</v>
      </c>
      <c r="G166" s="235">
        <f>E166*F166+H166</f>
        <v>1657.06</v>
      </c>
      <c r="H166" s="204">
        <v>-43.5</v>
      </c>
      <c r="I166" s="330"/>
    </row>
    <row r="167" spans="1:9" ht="15.75" customHeight="1">
      <c r="A167" s="382">
        <v>126</v>
      </c>
      <c r="B167" s="378" t="s">
        <v>106</v>
      </c>
      <c r="C167" s="398">
        <v>47924</v>
      </c>
      <c r="D167" s="374">
        <f>42071+505+269+75+243+247+486+810+395+361+378+287+207+233+270+146+22+40+283+316+258-6</f>
        <v>47896</v>
      </c>
      <c r="E167" s="387">
        <f>C167-D167</f>
        <v>28</v>
      </c>
      <c r="F167" s="9">
        <v>7.33</v>
      </c>
      <c r="G167" s="389">
        <f>E167*F167+H167</f>
        <v>197.99</v>
      </c>
      <c r="H167" s="394">
        <v>-7.25</v>
      </c>
      <c r="I167" s="330"/>
    </row>
    <row r="168" spans="1:9" ht="29.25" customHeight="1">
      <c r="A168" s="480">
        <v>127</v>
      </c>
      <c r="B168" s="498" t="s">
        <v>107</v>
      </c>
      <c r="C168" s="491">
        <v>8055</v>
      </c>
      <c r="D168" s="493">
        <f>6978+363+125+41</f>
        <v>7507</v>
      </c>
      <c r="E168" s="3">
        <v>548</v>
      </c>
      <c r="F168" s="9">
        <v>6.17</v>
      </c>
      <c r="G168" s="473">
        <f>E168*F168+E169*F169+H168</f>
        <v>3375.3799999999997</v>
      </c>
      <c r="H168" s="572">
        <v>-5.78</v>
      </c>
      <c r="I168" s="330" t="s">
        <v>7</v>
      </c>
    </row>
    <row r="169" spans="1:9">
      <c r="A169" s="480"/>
      <c r="B169" s="499"/>
      <c r="C169" s="492"/>
      <c r="D169" s="494"/>
      <c r="E169" s="3"/>
      <c r="F169" s="9">
        <v>6.73</v>
      </c>
      <c r="G169" s="497"/>
      <c r="H169" s="573"/>
      <c r="I169" s="330"/>
    </row>
    <row r="170" spans="1:9" ht="29.25" customHeight="1">
      <c r="A170" s="67">
        <v>128</v>
      </c>
      <c r="B170" s="278" t="s">
        <v>108</v>
      </c>
      <c r="C170" s="92">
        <v>15639</v>
      </c>
      <c r="D170" s="91">
        <f>11674+451+147+166+372+320+420+7+192+426+459+295+343+140+6+89+72</f>
        <v>15579</v>
      </c>
      <c r="E170" s="3">
        <f t="shared" ref="E170:E179" si="16">C170-D170</f>
        <v>60</v>
      </c>
      <c r="F170" s="9">
        <v>7.33</v>
      </c>
      <c r="G170" s="229">
        <f>E170*F170+H170</f>
        <v>425.14</v>
      </c>
      <c r="H170" s="90">
        <v>-14.66</v>
      </c>
      <c r="I170" s="330"/>
    </row>
    <row r="171" spans="1:9" ht="15.75" customHeight="1">
      <c r="A171" s="382">
        <v>129</v>
      </c>
      <c r="B171" s="378" t="s">
        <v>304</v>
      </c>
      <c r="C171" s="398">
        <v>6795</v>
      </c>
      <c r="D171" s="374">
        <f>5150+145+184+324+297+297+445+297-51</f>
        <v>7088</v>
      </c>
      <c r="E171" s="3">
        <f t="shared" si="16"/>
        <v>-293</v>
      </c>
      <c r="F171" s="9">
        <v>7.33</v>
      </c>
      <c r="G171" s="375"/>
      <c r="H171" s="394">
        <v>-6.62</v>
      </c>
      <c r="I171" s="330"/>
    </row>
    <row r="172" spans="1:9">
      <c r="A172" s="357">
        <v>130</v>
      </c>
      <c r="B172" s="358" t="s">
        <v>109</v>
      </c>
      <c r="C172" s="351">
        <v>7190</v>
      </c>
      <c r="D172" s="354">
        <f>4869+303+299+146+95+142+264+72+168+325+183+44+109</f>
        <v>7019</v>
      </c>
      <c r="E172" s="3">
        <f t="shared" si="16"/>
        <v>171</v>
      </c>
      <c r="F172" s="9">
        <v>7.33</v>
      </c>
      <c r="G172" s="26">
        <f t="shared" ref="G172" si="17">E172*F172+H172</f>
        <v>1246.7</v>
      </c>
      <c r="H172" s="103">
        <v>-6.73</v>
      </c>
      <c r="I172" s="335"/>
    </row>
    <row r="173" spans="1:9">
      <c r="A173" s="67">
        <v>131</v>
      </c>
      <c r="B173" s="278" t="s">
        <v>110</v>
      </c>
      <c r="C173" s="92">
        <v>16742</v>
      </c>
      <c r="D173" s="91">
        <f>13830+810+25+210+275+161+102+232+205+193+115+76+147+147+18+190</f>
        <v>16736</v>
      </c>
      <c r="E173" s="3">
        <f t="shared" si="16"/>
        <v>6</v>
      </c>
      <c r="F173" s="9">
        <v>7.33</v>
      </c>
      <c r="G173" s="26">
        <f t="shared" ref="G173:G174" si="18">E173*F173+H173</f>
        <v>22.020000000000003</v>
      </c>
      <c r="H173" s="90">
        <f>-14.66-7.3</f>
        <v>-21.96</v>
      </c>
      <c r="I173" s="330"/>
    </row>
    <row r="174" spans="1:9" ht="31.5">
      <c r="A174" s="214">
        <v>132</v>
      </c>
      <c r="B174" s="292" t="s">
        <v>111</v>
      </c>
      <c r="C174" s="215">
        <v>7</v>
      </c>
      <c r="D174" s="215">
        <f>2+5</f>
        <v>7</v>
      </c>
      <c r="E174" s="216">
        <f t="shared" si="16"/>
        <v>0</v>
      </c>
      <c r="F174" s="217">
        <v>7.33</v>
      </c>
      <c r="G174" s="26"/>
      <c r="H174" s="50"/>
      <c r="I174" s="330" t="s">
        <v>376</v>
      </c>
    </row>
    <row r="175" spans="1:9">
      <c r="A175" s="384">
        <v>133</v>
      </c>
      <c r="B175" s="412" t="s">
        <v>112</v>
      </c>
      <c r="C175" s="413">
        <v>7107</v>
      </c>
      <c r="D175" s="399">
        <f>5500+252+243+100+90+363+148+148+148+204-12</f>
        <v>7184</v>
      </c>
      <c r="E175" s="16">
        <f t="shared" si="16"/>
        <v>-77</v>
      </c>
      <c r="F175" s="93">
        <v>7.33</v>
      </c>
      <c r="G175" s="26"/>
      <c r="H175" s="394">
        <v>-5.49</v>
      </c>
      <c r="I175" s="330"/>
    </row>
    <row r="176" spans="1:9">
      <c r="A176" s="403">
        <v>134</v>
      </c>
      <c r="B176" s="388" t="s">
        <v>113</v>
      </c>
      <c r="C176" s="413">
        <v>961</v>
      </c>
      <c r="D176" s="413">
        <f>1080-19</f>
        <v>1061</v>
      </c>
      <c r="E176" s="16">
        <f t="shared" si="16"/>
        <v>-100</v>
      </c>
      <c r="F176" s="93">
        <v>7.33</v>
      </c>
      <c r="G176" s="26"/>
      <c r="H176" s="394">
        <v>-2.3199999999999998</v>
      </c>
      <c r="I176" s="330"/>
    </row>
    <row r="177" spans="1:10" ht="15.75" customHeight="1">
      <c r="A177" s="382">
        <v>135</v>
      </c>
      <c r="B177" s="391" t="s">
        <v>114</v>
      </c>
      <c r="C177" s="380">
        <v>3256</v>
      </c>
      <c r="D177" s="374">
        <f>3069+21+253</f>
        <v>3343</v>
      </c>
      <c r="E177" s="3">
        <f t="shared" si="16"/>
        <v>-87</v>
      </c>
      <c r="F177" s="9">
        <v>7.33</v>
      </c>
      <c r="G177" s="375"/>
      <c r="H177" s="394">
        <v>-4.18</v>
      </c>
      <c r="I177" s="330"/>
    </row>
    <row r="178" spans="1:10">
      <c r="A178" s="133">
        <v>136</v>
      </c>
      <c r="B178" s="296" t="s">
        <v>115</v>
      </c>
      <c r="C178" s="6">
        <v>7484</v>
      </c>
      <c r="D178" s="6">
        <f>5650+87+161+147+273+36+176+384+162+213</f>
        <v>7289</v>
      </c>
      <c r="E178" s="3">
        <f t="shared" si="16"/>
        <v>195</v>
      </c>
      <c r="F178" s="9">
        <v>7.33</v>
      </c>
      <c r="G178" s="26">
        <f>E178*F178+H178</f>
        <v>1429.35</v>
      </c>
      <c r="H178" s="44"/>
      <c r="I178" s="330"/>
    </row>
    <row r="179" spans="1:10">
      <c r="A179" s="181">
        <v>137</v>
      </c>
      <c r="B179" s="274" t="s">
        <v>116</v>
      </c>
      <c r="C179" s="180">
        <v>953</v>
      </c>
      <c r="D179" s="180">
        <f>153+43+290+209</f>
        <v>695</v>
      </c>
      <c r="E179" s="3">
        <f t="shared" si="16"/>
        <v>258</v>
      </c>
      <c r="F179" s="9">
        <v>7.33</v>
      </c>
      <c r="G179" s="26">
        <f>E179*F179+H179</f>
        <v>1891.14</v>
      </c>
      <c r="H179" s="183"/>
      <c r="I179" s="227" t="s">
        <v>340</v>
      </c>
    </row>
    <row r="180" spans="1:10">
      <c r="A180" s="479">
        <v>138</v>
      </c>
      <c r="B180" s="643" t="s">
        <v>117</v>
      </c>
      <c r="C180" s="502">
        <v>620</v>
      </c>
      <c r="D180" s="502">
        <v>600</v>
      </c>
      <c r="E180" s="3">
        <v>7</v>
      </c>
      <c r="F180" s="9">
        <v>6.73</v>
      </c>
      <c r="G180" s="473">
        <f>E180*F180+E181*F181+H180</f>
        <v>142.02000000000001</v>
      </c>
      <c r="H180" s="572">
        <v>-0.38</v>
      </c>
      <c r="I180" s="330"/>
    </row>
    <row r="181" spans="1:10">
      <c r="A181" s="479"/>
      <c r="B181" s="644"/>
      <c r="C181" s="503"/>
      <c r="D181" s="503"/>
      <c r="E181" s="3">
        <v>13</v>
      </c>
      <c r="F181" s="9">
        <v>7.33</v>
      </c>
      <c r="G181" s="497"/>
      <c r="H181" s="573"/>
      <c r="I181" s="330"/>
    </row>
    <row r="182" spans="1:10">
      <c r="A182" s="132">
        <v>139</v>
      </c>
      <c r="B182" s="285" t="s">
        <v>118</v>
      </c>
      <c r="C182" s="5">
        <v>7</v>
      </c>
      <c r="D182" s="5">
        <v>7</v>
      </c>
      <c r="E182" s="3">
        <f>C182-D182</f>
        <v>0</v>
      </c>
      <c r="F182" s="9">
        <v>7.33</v>
      </c>
      <c r="G182" s="26"/>
      <c r="H182" s="44"/>
      <c r="I182" s="330" t="s">
        <v>16</v>
      </c>
    </row>
    <row r="183" spans="1:10" ht="33.75" customHeight="1">
      <c r="A183" s="67">
        <v>140</v>
      </c>
      <c r="B183" s="278" t="s">
        <v>119</v>
      </c>
      <c r="C183" s="21">
        <v>14033</v>
      </c>
      <c r="D183" s="20">
        <f>9195+41+434+986+394+578+368+365+625+314+1+215+228</f>
        <v>13744</v>
      </c>
      <c r="E183" s="3">
        <f>C183-D183</f>
        <v>289</v>
      </c>
      <c r="F183" s="9">
        <v>7.33</v>
      </c>
      <c r="G183" s="26">
        <f>E183*F183+H183</f>
        <v>2111.04</v>
      </c>
      <c r="H183" s="44">
        <v>-7.33</v>
      </c>
      <c r="I183" s="227"/>
    </row>
    <row r="184" spans="1:10">
      <c r="A184" s="405">
        <v>141</v>
      </c>
      <c r="B184" s="404" t="s">
        <v>120</v>
      </c>
      <c r="C184" s="460">
        <v>8</v>
      </c>
      <c r="D184" s="392">
        <f>130-20</f>
        <v>110</v>
      </c>
      <c r="E184" s="3">
        <f>C184-D184</f>
        <v>-102</v>
      </c>
      <c r="F184" s="9">
        <v>7.33</v>
      </c>
      <c r="G184" s="26"/>
      <c r="H184" s="394">
        <v>-5.45</v>
      </c>
      <c r="I184" s="330" t="s">
        <v>121</v>
      </c>
    </row>
    <row r="185" spans="1:10">
      <c r="A185" s="149">
        <v>142</v>
      </c>
      <c r="B185" s="278" t="s">
        <v>122</v>
      </c>
      <c r="C185" s="398">
        <v>19030</v>
      </c>
      <c r="D185" s="150">
        <f>17994+523+128+150+126+89+86-5</f>
        <v>19091</v>
      </c>
      <c r="E185" s="3">
        <f>C185-D185</f>
        <v>-61</v>
      </c>
      <c r="F185" s="9">
        <v>7.33</v>
      </c>
      <c r="G185" s="26"/>
      <c r="H185" s="151">
        <v>-1.05</v>
      </c>
    </row>
    <row r="186" spans="1:10" ht="16.5" customHeight="1">
      <c r="A186" s="485">
        <v>143</v>
      </c>
      <c r="B186" s="487" t="s">
        <v>311</v>
      </c>
      <c r="C186" s="491">
        <v>15250</v>
      </c>
      <c r="D186" s="493">
        <f>9857+805+796+45+842+476+361+489+331+283+330+427</f>
        <v>15042</v>
      </c>
      <c r="E186" s="3">
        <v>90</v>
      </c>
      <c r="F186" s="9">
        <v>6.73</v>
      </c>
      <c r="G186" s="473">
        <f>E186*F186+E187*F187+H186</f>
        <v>1457.18</v>
      </c>
      <c r="H186" s="44">
        <f>-2.07-4.86-5.41-1.12</f>
        <v>-13.46</v>
      </c>
      <c r="I186" s="333"/>
      <c r="J186" s="1"/>
    </row>
    <row r="187" spans="1:10">
      <c r="A187" s="618"/>
      <c r="B187" s="645"/>
      <c r="C187" s="555"/>
      <c r="D187" s="554"/>
      <c r="E187" s="265">
        <v>118</v>
      </c>
      <c r="F187" s="17">
        <v>7.33</v>
      </c>
      <c r="G187" s="474"/>
      <c r="H187" s="272"/>
      <c r="I187" s="333"/>
      <c r="J187" s="1"/>
    </row>
    <row r="188" spans="1:10">
      <c r="A188" s="475">
        <v>144</v>
      </c>
      <c r="B188" s="475" t="s">
        <v>123</v>
      </c>
      <c r="C188" s="477">
        <v>3562</v>
      </c>
      <c r="D188" s="477">
        <f>3051+1+3+126+84+93+92</f>
        <v>3450</v>
      </c>
      <c r="E188" s="365">
        <v>91</v>
      </c>
      <c r="F188" s="19">
        <v>6.73</v>
      </c>
      <c r="G188" s="473">
        <f>E188*F188+E189*F189+H188</f>
        <v>1433.39</v>
      </c>
      <c r="H188" s="105"/>
      <c r="I188" s="333"/>
      <c r="J188" s="1"/>
    </row>
    <row r="189" spans="1:10">
      <c r="A189" s="476"/>
      <c r="B189" s="476"/>
      <c r="C189" s="478"/>
      <c r="D189" s="478"/>
      <c r="E189" s="365">
        <v>112</v>
      </c>
      <c r="F189" s="19">
        <v>7.33</v>
      </c>
      <c r="G189" s="474"/>
      <c r="H189" s="436"/>
      <c r="I189" s="333"/>
      <c r="J189" s="1"/>
    </row>
    <row r="190" spans="1:10" ht="32.25" customHeight="1">
      <c r="A190" s="361">
        <v>145</v>
      </c>
      <c r="B190" s="364" t="s">
        <v>124</v>
      </c>
      <c r="C190" s="365">
        <v>187</v>
      </c>
      <c r="D190" s="366">
        <v>0</v>
      </c>
      <c r="E190" s="365">
        <f t="shared" ref="E190" si="19">C190-D190</f>
        <v>187</v>
      </c>
      <c r="F190" s="367">
        <v>7.33</v>
      </c>
      <c r="G190" s="368">
        <f t="shared" ref="G185:G190" si="20">E190*F190+H190</f>
        <v>1370.71</v>
      </c>
      <c r="H190" s="76"/>
      <c r="I190" s="333" t="s">
        <v>380</v>
      </c>
      <c r="J190" s="1"/>
    </row>
    <row r="191" spans="1:10">
      <c r="A191" s="480">
        <v>146</v>
      </c>
      <c r="B191" s="622" t="s">
        <v>321</v>
      </c>
      <c r="C191" s="481">
        <v>8405</v>
      </c>
      <c r="D191" s="482">
        <f>5209+1449+38+34+828+428</f>
        <v>7986</v>
      </c>
      <c r="E191" s="280">
        <v>327</v>
      </c>
      <c r="F191" s="19">
        <v>6.73</v>
      </c>
      <c r="G191" s="574">
        <f>E191*F191+E192*F192+H191</f>
        <v>2861.73</v>
      </c>
      <c r="H191" s="51">
        <f>-2.96-6.4-3.98</f>
        <v>-13.34</v>
      </c>
      <c r="I191" s="333"/>
      <c r="J191" s="1"/>
    </row>
    <row r="192" spans="1:10">
      <c r="A192" s="480"/>
      <c r="B192" s="622"/>
      <c r="C192" s="481"/>
      <c r="D192" s="482"/>
      <c r="E192" s="280">
        <v>92</v>
      </c>
      <c r="F192" s="19">
        <v>7.33</v>
      </c>
      <c r="G192" s="574"/>
      <c r="H192" s="51"/>
      <c r="I192" s="333"/>
      <c r="J192" s="1"/>
    </row>
    <row r="193" spans="1:10" ht="15.75" customHeight="1">
      <c r="A193" s="479">
        <v>147</v>
      </c>
      <c r="B193" s="638" t="s">
        <v>125</v>
      </c>
      <c r="C193" s="543">
        <v>61825</v>
      </c>
      <c r="D193" s="621">
        <f>25822+3372+2501+2324+1134+2674+1284+11+2706+2246+2780+5943+3804+2971+356</f>
        <v>59928</v>
      </c>
      <c r="E193" s="280">
        <v>673</v>
      </c>
      <c r="F193" s="19">
        <v>6.73</v>
      </c>
      <c r="G193" s="574">
        <f t="shared" ref="G193" si="21">E193*F193+E194*F194+H193</f>
        <v>13468.57</v>
      </c>
      <c r="H193" s="44">
        <f>-11.08-3.98-5.6-3.61-5.17-3.2</f>
        <v>-32.64</v>
      </c>
      <c r="I193" s="496" t="s">
        <v>7</v>
      </c>
      <c r="J193" s="1"/>
    </row>
    <row r="194" spans="1:10" ht="18" customHeight="1">
      <c r="A194" s="479"/>
      <c r="B194" s="638"/>
      <c r="C194" s="543"/>
      <c r="D194" s="621"/>
      <c r="E194" s="280">
        <v>1224</v>
      </c>
      <c r="F194" s="19">
        <v>7.33</v>
      </c>
      <c r="G194" s="574"/>
      <c r="H194" s="272"/>
      <c r="I194" s="496"/>
      <c r="J194" s="1"/>
    </row>
    <row r="195" spans="1:10" ht="21" customHeight="1">
      <c r="A195" s="480">
        <v>148</v>
      </c>
      <c r="B195" s="575" t="s">
        <v>126</v>
      </c>
      <c r="C195" s="543">
        <v>727</v>
      </c>
      <c r="D195" s="621">
        <f>81+51+199+79+261</f>
        <v>671</v>
      </c>
      <c r="E195" s="280">
        <v>14</v>
      </c>
      <c r="F195" s="19">
        <v>6.73</v>
      </c>
      <c r="G195" s="574">
        <f t="shared" ref="G195" si="22">E195*F195+E196*F196+H195</f>
        <v>402.08000000000004</v>
      </c>
      <c r="H195" s="103"/>
      <c r="I195" s="330" t="s">
        <v>43</v>
      </c>
      <c r="J195" s="1"/>
    </row>
    <row r="196" spans="1:10" ht="20.25" customHeight="1">
      <c r="A196" s="480"/>
      <c r="B196" s="575"/>
      <c r="C196" s="543"/>
      <c r="D196" s="621"/>
      <c r="E196" s="280">
        <v>42</v>
      </c>
      <c r="F196" s="19">
        <v>7.33</v>
      </c>
      <c r="G196" s="574"/>
      <c r="H196" s="272"/>
      <c r="I196" s="330"/>
      <c r="J196" s="1"/>
    </row>
    <row r="197" spans="1:10" ht="23.25" customHeight="1">
      <c r="A197" s="385">
        <v>149</v>
      </c>
      <c r="B197" s="379" t="s">
        <v>127</v>
      </c>
      <c r="C197" s="458">
        <v>2807</v>
      </c>
      <c r="D197" s="381">
        <f>252+288+47+340+275+113+371+386+304+193+148</f>
        <v>2717</v>
      </c>
      <c r="E197" s="266">
        <f>C197-D197</f>
        <v>90</v>
      </c>
      <c r="F197" s="18">
        <v>7.33</v>
      </c>
      <c r="G197" s="235">
        <f>E197*F197+H197</f>
        <v>660.51</v>
      </c>
      <c r="H197" s="394">
        <v>0.81</v>
      </c>
      <c r="I197" s="393" t="s">
        <v>43</v>
      </c>
      <c r="J197" s="1"/>
    </row>
    <row r="198" spans="1:10">
      <c r="A198" s="382">
        <v>150</v>
      </c>
      <c r="B198" s="378" t="s">
        <v>128</v>
      </c>
      <c r="C198" s="413">
        <v>23727</v>
      </c>
      <c r="D198" s="374">
        <f>22170+486+445+445+297-37</f>
        <v>23806</v>
      </c>
      <c r="E198" s="387">
        <f>C198-D198</f>
        <v>-79</v>
      </c>
      <c r="F198" s="18">
        <v>7.33</v>
      </c>
      <c r="G198" s="389"/>
      <c r="H198" s="394">
        <v>-5.17</v>
      </c>
      <c r="I198" s="330"/>
      <c r="J198" s="1"/>
    </row>
    <row r="199" spans="1:10" ht="31.5">
      <c r="A199" s="619">
        <v>151</v>
      </c>
      <c r="B199" s="487" t="s">
        <v>129</v>
      </c>
      <c r="C199" s="502">
        <v>5979</v>
      </c>
      <c r="D199" s="493">
        <f>4500+164+174+74+97+317+153+43</f>
        <v>5522</v>
      </c>
      <c r="E199" s="3">
        <v>236</v>
      </c>
      <c r="F199" s="9">
        <v>6.73</v>
      </c>
      <c r="G199" s="473">
        <f>E199*F199+E200*F200+H199</f>
        <v>3208.21</v>
      </c>
      <c r="H199" s="103"/>
      <c r="I199" s="330" t="s">
        <v>7</v>
      </c>
    </row>
    <row r="200" spans="1:10">
      <c r="A200" s="620"/>
      <c r="B200" s="488"/>
      <c r="C200" s="503"/>
      <c r="D200" s="494"/>
      <c r="E200" s="3">
        <v>221</v>
      </c>
      <c r="F200" s="9">
        <v>7.33</v>
      </c>
      <c r="G200" s="497"/>
      <c r="H200" s="272"/>
      <c r="I200" s="330"/>
    </row>
    <row r="201" spans="1:10">
      <c r="A201" s="281">
        <v>152</v>
      </c>
      <c r="B201" s="278" t="s">
        <v>130</v>
      </c>
      <c r="C201" s="262">
        <f>17946+80</f>
        <v>18026</v>
      </c>
      <c r="D201" s="263">
        <v>17946</v>
      </c>
      <c r="E201" s="265">
        <f>C201-D201</f>
        <v>80</v>
      </c>
      <c r="F201" s="17">
        <v>7.33</v>
      </c>
      <c r="G201" s="264">
        <f>E201*F201+H201</f>
        <v>586.4</v>
      </c>
      <c r="H201" s="272"/>
      <c r="I201" s="330"/>
    </row>
    <row r="202" spans="1:10" ht="31.5">
      <c r="A202" s="479">
        <v>153</v>
      </c>
      <c r="B202" s="480" t="s">
        <v>131</v>
      </c>
      <c r="C202" s="481">
        <v>9031</v>
      </c>
      <c r="D202" s="482">
        <f>8604</f>
        <v>8604</v>
      </c>
      <c r="E202" s="439">
        <v>161</v>
      </c>
      <c r="F202" s="19">
        <v>6.73</v>
      </c>
      <c r="G202" s="483">
        <f>E202*F202+E203*F203+H202</f>
        <v>3012.9</v>
      </c>
      <c r="H202" s="472">
        <v>-20.41</v>
      </c>
      <c r="I202" s="330" t="s">
        <v>7</v>
      </c>
    </row>
    <row r="203" spans="1:10">
      <c r="A203" s="479"/>
      <c r="B203" s="480"/>
      <c r="C203" s="481"/>
      <c r="D203" s="482"/>
      <c r="E203" s="439">
        <v>266</v>
      </c>
      <c r="F203" s="19">
        <v>7.33</v>
      </c>
      <c r="G203" s="484"/>
      <c r="H203" s="472"/>
      <c r="I203" s="330"/>
    </row>
    <row r="204" spans="1:10" ht="30" customHeight="1">
      <c r="A204" s="340">
        <v>154</v>
      </c>
      <c r="B204" s="325" t="s">
        <v>299</v>
      </c>
      <c r="C204" s="630" t="s">
        <v>293</v>
      </c>
      <c r="D204" s="630"/>
      <c r="E204" s="630"/>
      <c r="F204" s="630"/>
      <c r="G204" s="630"/>
      <c r="H204" s="630"/>
      <c r="I204" s="227"/>
    </row>
    <row r="205" spans="1:10" ht="15.75" customHeight="1">
      <c r="A205" s="382">
        <v>155</v>
      </c>
      <c r="B205" s="378" t="s">
        <v>132</v>
      </c>
      <c r="C205" s="458">
        <v>5974</v>
      </c>
      <c r="D205" s="381">
        <f>4459+67+8+190+56+405+117+289+133+118+148-12</f>
        <v>5978</v>
      </c>
      <c r="E205" s="422">
        <f>C205-D205</f>
        <v>-4</v>
      </c>
      <c r="F205" s="18">
        <v>7.33</v>
      </c>
      <c r="G205" s="236"/>
      <c r="H205" s="395">
        <v>-1.58</v>
      </c>
      <c r="I205" s="337"/>
      <c r="J205" s="1"/>
    </row>
    <row r="206" spans="1:10" ht="31.5">
      <c r="A206" s="67">
        <v>156</v>
      </c>
      <c r="B206" s="278" t="s">
        <v>133</v>
      </c>
      <c r="C206" s="413">
        <v>155</v>
      </c>
      <c r="D206" s="112">
        <v>25</v>
      </c>
      <c r="E206" s="3">
        <f>C206-D206</f>
        <v>130</v>
      </c>
      <c r="F206" s="18">
        <v>7.33</v>
      </c>
      <c r="G206" s="26">
        <f t="shared" ref="G206" si="23">E206*F206+H206</f>
        <v>947.14</v>
      </c>
      <c r="H206" s="111">
        <v>-5.76</v>
      </c>
      <c r="I206" s="330" t="s">
        <v>380</v>
      </c>
    </row>
    <row r="207" spans="1:10">
      <c r="A207" s="67">
        <v>157</v>
      </c>
      <c r="B207" s="283" t="s">
        <v>134</v>
      </c>
      <c r="C207" s="16">
        <v>21955</v>
      </c>
      <c r="D207" s="4">
        <f>8596+2023+947+999+329+3+405+856+983+7+742+1437+2+561+420+459+483+676+1105+820+390-63</f>
        <v>22180</v>
      </c>
      <c r="E207" s="3">
        <f>C207-D207</f>
        <v>-225</v>
      </c>
      <c r="F207" s="9">
        <v>7.33</v>
      </c>
      <c r="G207" s="26"/>
      <c r="H207" s="44">
        <v>-0.39</v>
      </c>
      <c r="I207" s="330"/>
    </row>
    <row r="208" spans="1:10">
      <c r="A208" s="133">
        <v>158</v>
      </c>
      <c r="B208" s="277" t="s">
        <v>135</v>
      </c>
      <c r="C208" s="413">
        <v>5025</v>
      </c>
      <c r="D208" s="121">
        <f>3946+57+148+111+222+611-6</f>
        <v>5089</v>
      </c>
      <c r="E208" s="3">
        <f>C208-D208</f>
        <v>-64</v>
      </c>
      <c r="F208" s="9">
        <v>7.33</v>
      </c>
      <c r="G208" s="26"/>
      <c r="H208" s="120">
        <v>-1.98</v>
      </c>
      <c r="I208" s="330"/>
    </row>
    <row r="209" spans="1:9" ht="33.75" customHeight="1">
      <c r="A209" s="214">
        <v>159</v>
      </c>
      <c r="B209" s="292" t="s">
        <v>136</v>
      </c>
      <c r="C209" s="215">
        <v>2</v>
      </c>
      <c r="D209" s="215">
        <v>0</v>
      </c>
      <c r="E209" s="216">
        <f>C209-D209</f>
        <v>2</v>
      </c>
      <c r="F209" s="217">
        <v>5.93</v>
      </c>
      <c r="G209" s="464">
        <f>E209*F209+H209</f>
        <v>11.86</v>
      </c>
      <c r="H209" s="50"/>
      <c r="I209" s="330" t="s">
        <v>376</v>
      </c>
    </row>
    <row r="210" spans="1:9" ht="30" customHeight="1">
      <c r="A210" s="133">
        <v>160</v>
      </c>
      <c r="B210" s="283" t="s">
        <v>137</v>
      </c>
      <c r="C210" s="565" t="s">
        <v>293</v>
      </c>
      <c r="D210" s="566"/>
      <c r="E210" s="566"/>
      <c r="F210" s="566"/>
      <c r="G210" s="566"/>
      <c r="H210" s="567"/>
      <c r="I210" s="330"/>
    </row>
    <row r="211" spans="1:9">
      <c r="A211" s="260">
        <v>161</v>
      </c>
      <c r="B211" s="261" t="s">
        <v>138</v>
      </c>
      <c r="C211" s="262">
        <v>8183</v>
      </c>
      <c r="D211" s="263">
        <v>7960</v>
      </c>
      <c r="E211" s="3">
        <f>C211-D211</f>
        <v>223</v>
      </c>
      <c r="F211" s="9">
        <v>7.33</v>
      </c>
      <c r="G211" s="264">
        <f>E211*F211+H211</f>
        <v>1634.59</v>
      </c>
      <c r="H211" s="44"/>
      <c r="I211" s="330"/>
    </row>
    <row r="212" spans="1:9" ht="30" customHeight="1">
      <c r="A212" s="67">
        <v>162</v>
      </c>
      <c r="B212" s="286" t="s">
        <v>139</v>
      </c>
      <c r="C212" s="3"/>
      <c r="D212" s="4"/>
      <c r="E212" s="3"/>
      <c r="F212" s="9"/>
      <c r="G212" s="26"/>
      <c r="H212" s="44"/>
      <c r="I212" s="330"/>
    </row>
    <row r="213" spans="1:9" ht="21.75" customHeight="1">
      <c r="A213" s="516">
        <v>163</v>
      </c>
      <c r="B213" s="508" t="s">
        <v>140</v>
      </c>
      <c r="C213" s="502">
        <v>2485</v>
      </c>
      <c r="D213" s="493">
        <f>270+425+104+83+690+36+89+699</f>
        <v>2396</v>
      </c>
      <c r="E213" s="3">
        <v>89</v>
      </c>
      <c r="F213" s="9">
        <v>6.73</v>
      </c>
      <c r="G213" s="473">
        <f>E213*F213+E214*F214+H213</f>
        <v>1046.7</v>
      </c>
      <c r="H213" s="71">
        <f>-0.42-1.03-5.28</f>
        <v>-6.73</v>
      </c>
      <c r="I213" s="495" t="s">
        <v>378</v>
      </c>
    </row>
    <row r="214" spans="1:9" ht="15.75" customHeight="1">
      <c r="A214" s="517"/>
      <c r="B214" s="509"/>
      <c r="C214" s="503"/>
      <c r="D214" s="494"/>
      <c r="E214" s="3">
        <v>62</v>
      </c>
      <c r="F214" s="9">
        <v>7.33</v>
      </c>
      <c r="G214" s="497"/>
      <c r="H214" s="272"/>
      <c r="I214" s="495"/>
    </row>
    <row r="215" spans="1:9" ht="15.75" customHeight="1">
      <c r="A215" s="382">
        <v>164</v>
      </c>
      <c r="B215" s="378" t="s">
        <v>141</v>
      </c>
      <c r="C215" s="398">
        <v>2557</v>
      </c>
      <c r="D215" s="374">
        <f>2669+139-42</f>
        <v>2766</v>
      </c>
      <c r="E215" s="3">
        <f>C215-D215</f>
        <v>-209</v>
      </c>
      <c r="F215" s="9">
        <v>7.33</v>
      </c>
      <c r="G215" s="375"/>
      <c r="H215" s="394">
        <v>-6.17</v>
      </c>
      <c r="I215" s="330"/>
    </row>
    <row r="216" spans="1:9">
      <c r="A216" s="382">
        <v>165</v>
      </c>
      <c r="B216" s="378" t="s">
        <v>142</v>
      </c>
      <c r="C216" s="398">
        <v>2554</v>
      </c>
      <c r="D216" s="374">
        <f>2047+191+297-17</f>
        <v>2518</v>
      </c>
      <c r="E216" s="3">
        <f>C216-D216</f>
        <v>36</v>
      </c>
      <c r="F216" s="9">
        <v>7.33</v>
      </c>
      <c r="G216" s="375">
        <f>E216*F216+H216</f>
        <v>258.52</v>
      </c>
      <c r="H216" s="44">
        <v>-5.36</v>
      </c>
      <c r="I216" s="330"/>
    </row>
    <row r="217" spans="1:9">
      <c r="A217" s="382">
        <v>166</v>
      </c>
      <c r="B217" s="402" t="s">
        <v>143</v>
      </c>
      <c r="C217" s="461">
        <v>8890</v>
      </c>
      <c r="D217" s="462">
        <f>8105+66+98+340+73+174+113</f>
        <v>8969</v>
      </c>
      <c r="E217" s="461">
        <f>C217-D217</f>
        <v>-79</v>
      </c>
      <c r="F217" s="463">
        <v>7.33</v>
      </c>
      <c r="G217" s="408"/>
      <c r="H217" s="272">
        <f>-6.73-0.69</f>
        <v>-7.42</v>
      </c>
      <c r="I217" s="330"/>
    </row>
    <row r="218" spans="1:9" ht="29.25" customHeight="1">
      <c r="A218" s="340">
        <v>167</v>
      </c>
      <c r="B218" s="325" t="s">
        <v>301</v>
      </c>
      <c r="C218" s="543" t="s">
        <v>293</v>
      </c>
      <c r="D218" s="543"/>
      <c r="E218" s="543"/>
      <c r="F218" s="543"/>
      <c r="G218" s="543"/>
      <c r="H218" s="543"/>
      <c r="I218" s="227" t="s">
        <v>326</v>
      </c>
    </row>
    <row r="219" spans="1:9" ht="15.75" customHeight="1">
      <c r="A219" s="403">
        <v>168</v>
      </c>
      <c r="B219" s="390" t="s">
        <v>144</v>
      </c>
      <c r="C219" s="279">
        <v>15239</v>
      </c>
      <c r="D219" s="381">
        <f>10975+600+105+223+648+972+445+891+742-92</f>
        <v>15509</v>
      </c>
      <c r="E219" s="3">
        <f>C219-D219</f>
        <v>-270</v>
      </c>
      <c r="F219" s="9">
        <v>7.33</v>
      </c>
      <c r="G219" s="375"/>
      <c r="H219" s="395">
        <v>-6.78</v>
      </c>
      <c r="I219" s="330"/>
    </row>
    <row r="220" spans="1:9">
      <c r="A220" s="67">
        <v>169</v>
      </c>
      <c r="B220" s="278" t="s">
        <v>145</v>
      </c>
      <c r="C220" s="89">
        <v>7037</v>
      </c>
      <c r="D220" s="91">
        <f>5343+389+193+188+95+133+124+65+100+149+13+9+94+57</f>
        <v>6952</v>
      </c>
      <c r="E220" s="3">
        <f>C220-D220</f>
        <v>85</v>
      </c>
      <c r="F220" s="9">
        <v>7.33</v>
      </c>
      <c r="G220" s="229">
        <f>E220*F220+H220</f>
        <v>615.71999999999991</v>
      </c>
      <c r="H220" s="90">
        <v>-7.33</v>
      </c>
      <c r="I220" s="227"/>
    </row>
    <row r="221" spans="1:9" ht="33.75" customHeight="1">
      <c r="A221" s="67">
        <v>170</v>
      </c>
      <c r="B221" s="278" t="s">
        <v>146</v>
      </c>
      <c r="C221" s="413">
        <v>7923</v>
      </c>
      <c r="D221" s="100">
        <f>5415+50+276+486+427+103+445+445+742-37</f>
        <v>8352</v>
      </c>
      <c r="E221" s="101">
        <f>C221-D221</f>
        <v>-429</v>
      </c>
      <c r="F221" s="17">
        <v>7.33</v>
      </c>
      <c r="G221" s="245"/>
      <c r="H221" s="99">
        <v>-3.58</v>
      </c>
      <c r="I221" s="330"/>
    </row>
    <row r="222" spans="1:9" ht="27" customHeight="1">
      <c r="A222" s="67">
        <v>171</v>
      </c>
      <c r="B222" s="633" t="s">
        <v>147</v>
      </c>
      <c r="C222" s="634"/>
      <c r="D222" s="634"/>
      <c r="E222" s="634"/>
      <c r="F222" s="634"/>
      <c r="G222" s="634"/>
      <c r="H222" s="634"/>
      <c r="I222" s="330"/>
    </row>
    <row r="223" spans="1:9">
      <c r="A223" s="67">
        <v>172</v>
      </c>
      <c r="B223" s="297" t="s">
        <v>331</v>
      </c>
      <c r="C223" s="197">
        <v>1377</v>
      </c>
      <c r="D223" s="198">
        <f>911+168+13+68+65+26+30+33+21+7</f>
        <v>1342</v>
      </c>
      <c r="E223" s="199">
        <f>C223-D223</f>
        <v>35</v>
      </c>
      <c r="F223" s="200">
        <v>7.33</v>
      </c>
      <c r="G223" s="235">
        <f>E223*F223+H223</f>
        <v>227.23000000000002</v>
      </c>
      <c r="H223" s="51">
        <v>-29.32</v>
      </c>
      <c r="I223" s="330"/>
    </row>
    <row r="224" spans="1:9">
      <c r="A224" s="67">
        <v>173</v>
      </c>
      <c r="B224" s="278" t="s">
        <v>148</v>
      </c>
      <c r="C224" s="616" t="s">
        <v>293</v>
      </c>
      <c r="D224" s="617"/>
      <c r="E224" s="617"/>
      <c r="F224" s="617"/>
      <c r="G224" s="617"/>
      <c r="H224" s="201"/>
      <c r="I224" s="330"/>
    </row>
    <row r="225" spans="1:9" ht="31.5">
      <c r="A225" s="67">
        <v>174</v>
      </c>
      <c r="B225" s="278" t="s">
        <v>149</v>
      </c>
      <c r="C225" s="551" t="s">
        <v>293</v>
      </c>
      <c r="D225" s="552"/>
      <c r="E225" s="552"/>
      <c r="F225" s="552"/>
      <c r="G225" s="553"/>
      <c r="H225" s="196"/>
      <c r="I225" s="330" t="s">
        <v>325</v>
      </c>
    </row>
    <row r="226" spans="1:9" ht="30" customHeight="1">
      <c r="A226" s="67">
        <v>175</v>
      </c>
      <c r="B226" s="278" t="s">
        <v>150</v>
      </c>
      <c r="C226" s="74">
        <v>6206</v>
      </c>
      <c r="D226" s="72">
        <f>4457+44+311+71+48+20+93+94+3+23+26+267+63+95+84+104+126+11+74+63+61+7</f>
        <v>6145</v>
      </c>
      <c r="E226" s="3">
        <f>C226-D226</f>
        <v>61</v>
      </c>
      <c r="F226" s="9">
        <v>7.33</v>
      </c>
      <c r="G226" s="229">
        <f>E226*F226+H226</f>
        <v>380.63</v>
      </c>
      <c r="H226" s="44">
        <f>-5.4-10.36-2.6-5.55-0.02-1.7-0.02-3.09-6-5.65-4.68-0.08-2.03-0.97-1.98-6.01-4.47-5.89</f>
        <v>-66.499999999999986</v>
      </c>
      <c r="I226" s="330"/>
    </row>
    <row r="227" spans="1:9">
      <c r="A227" s="480">
        <v>176</v>
      </c>
      <c r="B227" s="614" t="s">
        <v>151</v>
      </c>
      <c r="C227" s="639">
        <v>3235</v>
      </c>
      <c r="D227" s="493">
        <f>2470+58+145+3+145+148+44+148+2</f>
        <v>3163</v>
      </c>
      <c r="E227" s="3">
        <v>12</v>
      </c>
      <c r="F227" s="9">
        <v>6.73</v>
      </c>
      <c r="G227" s="473">
        <f>E227*F227+E228*F228+H227</f>
        <v>519.38000000000011</v>
      </c>
      <c r="H227" s="572">
        <v>-1.18</v>
      </c>
      <c r="I227" s="330"/>
    </row>
    <row r="228" spans="1:9">
      <c r="A228" s="480"/>
      <c r="B228" s="615"/>
      <c r="C228" s="640"/>
      <c r="D228" s="494"/>
      <c r="E228" s="3">
        <v>60</v>
      </c>
      <c r="F228" s="9">
        <v>7.33</v>
      </c>
      <c r="G228" s="497"/>
      <c r="H228" s="573"/>
      <c r="I228" s="330"/>
    </row>
    <row r="229" spans="1:9">
      <c r="A229" s="416">
        <v>177</v>
      </c>
      <c r="B229" s="418" t="s">
        <v>152</v>
      </c>
      <c r="C229" s="421">
        <v>8262</v>
      </c>
      <c r="D229" s="420">
        <f>6916+21+790+148+445-37</f>
        <v>8283</v>
      </c>
      <c r="E229" s="3">
        <f>C229-D229</f>
        <v>-21</v>
      </c>
      <c r="F229" s="9">
        <v>7.33</v>
      </c>
      <c r="G229" s="419"/>
      <c r="H229" s="436">
        <f>-1.17-3.96-5.15-5.37</f>
        <v>-15.650000000000002</v>
      </c>
      <c r="I229" s="330"/>
    </row>
    <row r="230" spans="1:9">
      <c r="A230" s="260">
        <v>178</v>
      </c>
      <c r="B230" s="261" t="s">
        <v>153</v>
      </c>
      <c r="C230" s="262">
        <v>11751</v>
      </c>
      <c r="D230" s="263">
        <v>11522</v>
      </c>
      <c r="E230" s="3">
        <f>C230-D230</f>
        <v>229</v>
      </c>
      <c r="F230" s="9">
        <v>7.33</v>
      </c>
      <c r="G230" s="264">
        <f>E230*F230+H230</f>
        <v>1678.57</v>
      </c>
      <c r="H230" s="272"/>
      <c r="I230" s="330"/>
    </row>
    <row r="231" spans="1:9" ht="35.25" customHeight="1">
      <c r="A231" s="67">
        <v>179</v>
      </c>
      <c r="B231" s="261" t="s">
        <v>154</v>
      </c>
      <c r="C231" s="57">
        <v>11787</v>
      </c>
      <c r="D231" s="56">
        <f>10195+43+165+218+8+4+17+10+21+30+265+54+73+117+158+31+20+29+43+126+95</f>
        <v>11722</v>
      </c>
      <c r="E231" s="3">
        <f>C231-D231</f>
        <v>65</v>
      </c>
      <c r="F231" s="9">
        <v>7.33</v>
      </c>
      <c r="G231" s="229">
        <f>E231*F231+H231</f>
        <v>395.04</v>
      </c>
      <c r="H231" s="55">
        <f>-27.84-1.55-4.58-6.71-6.59-0.66-6.37-6.4-0.83-6.61-6.02-0.65-6.6</f>
        <v>-81.409999999999982</v>
      </c>
      <c r="I231" s="330"/>
    </row>
    <row r="232" spans="1:9" ht="21" customHeight="1">
      <c r="A232" s="516">
        <v>180</v>
      </c>
      <c r="B232" s="508" t="s">
        <v>155</v>
      </c>
      <c r="C232" s="502">
        <v>3361</v>
      </c>
      <c r="D232" s="493">
        <f>2125+96+79+66+189+92+73+93+100+177+15+79</f>
        <v>3184</v>
      </c>
      <c r="E232" s="3">
        <v>79</v>
      </c>
      <c r="F232" s="9">
        <v>6.73</v>
      </c>
      <c r="G232" s="473">
        <f>E232*F232+E233*F233+H232</f>
        <v>1250.0100000000002</v>
      </c>
      <c r="H232" s="73"/>
      <c r="I232" s="330"/>
    </row>
    <row r="233" spans="1:9" ht="21" customHeight="1">
      <c r="A233" s="517"/>
      <c r="B233" s="509"/>
      <c r="C233" s="503"/>
      <c r="D233" s="494"/>
      <c r="E233" s="3">
        <v>98</v>
      </c>
      <c r="F233" s="9">
        <v>7.33</v>
      </c>
      <c r="G233" s="497"/>
      <c r="H233" s="272"/>
      <c r="I233" s="330"/>
    </row>
    <row r="234" spans="1:9">
      <c r="A234" s="218">
        <v>181</v>
      </c>
      <c r="B234" s="261" t="s">
        <v>156</v>
      </c>
      <c r="C234" s="220">
        <v>302</v>
      </c>
      <c r="D234" s="219">
        <f>166+67</f>
        <v>233</v>
      </c>
      <c r="E234" s="3">
        <f t="shared" ref="E234:E235" si="24">C234-D234</f>
        <v>69</v>
      </c>
      <c r="F234" s="9">
        <v>7.33</v>
      </c>
      <c r="G234" s="229">
        <f t="shared" ref="G234:G235" si="25">E234*F234+H234</f>
        <v>505.77</v>
      </c>
      <c r="H234" s="221"/>
      <c r="I234" s="330" t="s">
        <v>340</v>
      </c>
    </row>
    <row r="235" spans="1:9">
      <c r="A235" s="166">
        <v>182</v>
      </c>
      <c r="B235" s="277" t="s">
        <v>157</v>
      </c>
      <c r="C235" s="168">
        <v>4326</v>
      </c>
      <c r="D235" s="167">
        <f>3808+139+161+74+19+35+43+36+5</f>
        <v>4320</v>
      </c>
      <c r="E235" s="3">
        <f t="shared" si="24"/>
        <v>6</v>
      </c>
      <c r="F235" s="9">
        <v>7.33</v>
      </c>
      <c r="G235" s="229">
        <f t="shared" si="25"/>
        <v>43.980000000000004</v>
      </c>
      <c r="H235" s="169"/>
      <c r="I235" s="330"/>
    </row>
    <row r="236" spans="1:9" ht="30.75" customHeight="1">
      <c r="A236" s="67">
        <v>183</v>
      </c>
      <c r="B236" s="286" t="s">
        <v>74</v>
      </c>
      <c r="C236" s="10"/>
      <c r="D236" s="11"/>
      <c r="E236" s="3"/>
      <c r="F236" s="36"/>
      <c r="G236" s="26"/>
      <c r="H236" s="44"/>
      <c r="I236" s="330"/>
    </row>
    <row r="237" spans="1:9" ht="30" customHeight="1">
      <c r="A237" s="485">
        <v>184</v>
      </c>
      <c r="B237" s="487" t="s">
        <v>158</v>
      </c>
      <c r="C237" s="491">
        <v>17762</v>
      </c>
      <c r="D237" s="493">
        <v>17410</v>
      </c>
      <c r="E237" s="3">
        <v>60</v>
      </c>
      <c r="F237" s="36">
        <v>6.73</v>
      </c>
      <c r="G237" s="473">
        <f>E237*F237+E238*F238+H237</f>
        <v>2542.4200000000005</v>
      </c>
      <c r="H237" s="114">
        <v>-1.74</v>
      </c>
      <c r="I237" s="330"/>
    </row>
    <row r="238" spans="1:9" ht="30" customHeight="1">
      <c r="A238" s="486"/>
      <c r="B238" s="488"/>
      <c r="C238" s="492"/>
      <c r="D238" s="494"/>
      <c r="E238" s="3">
        <v>292</v>
      </c>
      <c r="F238" s="36">
        <v>7.33</v>
      </c>
      <c r="G238" s="497"/>
      <c r="H238" s="272"/>
      <c r="I238" s="330"/>
    </row>
    <row r="239" spans="1:9" ht="31.5">
      <c r="A239" s="135">
        <v>185</v>
      </c>
      <c r="B239" s="284" t="s">
        <v>159</v>
      </c>
      <c r="C239" s="465">
        <v>17510</v>
      </c>
      <c r="D239" s="77">
        <f>13334+185+227+227+243+210+345+340+51+4+33+386+252+222+200+202+289+4+312+200</f>
        <v>17266</v>
      </c>
      <c r="E239" s="3">
        <f t="shared" ref="E239:E244" si="26">C239-D239</f>
        <v>244</v>
      </c>
      <c r="F239" s="36">
        <v>7.33</v>
      </c>
      <c r="G239" s="26">
        <f t="shared" ref="G239:G242" si="27">E239*F239+H239</f>
        <v>1725.07</v>
      </c>
      <c r="H239" s="76">
        <v>-63.45</v>
      </c>
      <c r="I239" s="330"/>
    </row>
    <row r="240" spans="1:9" ht="26.25" customHeight="1">
      <c r="A240" s="67">
        <v>186</v>
      </c>
      <c r="B240" s="261" t="s">
        <v>160</v>
      </c>
      <c r="C240" s="34">
        <v>14887</v>
      </c>
      <c r="D240" s="33">
        <f>10845+505+505+200+199+210+298+146+325+321+221+238+587+152</f>
        <v>14752</v>
      </c>
      <c r="E240" s="3">
        <f t="shared" si="26"/>
        <v>135</v>
      </c>
      <c r="F240" s="9">
        <v>7.33</v>
      </c>
      <c r="G240" s="26">
        <f t="shared" si="27"/>
        <v>982.21999999999991</v>
      </c>
      <c r="H240" s="44">
        <v>-7.33</v>
      </c>
      <c r="I240" s="330"/>
    </row>
    <row r="241" spans="1:9" ht="23.25" customHeight="1">
      <c r="A241" s="67">
        <v>187</v>
      </c>
      <c r="B241" s="283" t="s">
        <v>161</v>
      </c>
      <c r="C241" s="3">
        <v>18968</v>
      </c>
      <c r="D241" s="4">
        <f>13276+798+247+222+264+652+231+592+353+298+267+358+246+58+669+186</f>
        <v>18717</v>
      </c>
      <c r="E241" s="3">
        <f t="shared" si="26"/>
        <v>251</v>
      </c>
      <c r="F241" s="9">
        <v>7.33</v>
      </c>
      <c r="G241" s="26">
        <f t="shared" si="27"/>
        <v>1810.51</v>
      </c>
      <c r="H241" s="44">
        <v>-29.32</v>
      </c>
      <c r="I241" s="330"/>
    </row>
    <row r="242" spans="1:9" ht="45.75" customHeight="1">
      <c r="A242" s="133">
        <v>188</v>
      </c>
      <c r="B242" s="277" t="s">
        <v>333</v>
      </c>
      <c r="C242" s="96">
        <v>1052</v>
      </c>
      <c r="D242" s="95">
        <v>821</v>
      </c>
      <c r="E242" s="3">
        <f t="shared" si="26"/>
        <v>231</v>
      </c>
      <c r="F242" s="9">
        <v>7.33</v>
      </c>
      <c r="G242" s="26">
        <f t="shared" si="27"/>
        <v>1693.23</v>
      </c>
      <c r="H242" s="44"/>
      <c r="I242" s="330" t="s">
        <v>388</v>
      </c>
    </row>
    <row r="243" spans="1:9">
      <c r="A243" s="403">
        <v>189</v>
      </c>
      <c r="B243" s="390" t="s">
        <v>162</v>
      </c>
      <c r="C243" s="413">
        <v>4</v>
      </c>
      <c r="D243" s="374">
        <f>182-28</f>
        <v>154</v>
      </c>
      <c r="E243" s="3">
        <f t="shared" si="26"/>
        <v>-150</v>
      </c>
      <c r="F243" s="9">
        <v>7.33</v>
      </c>
      <c r="G243" s="26"/>
      <c r="H243" s="394">
        <v>-3.48</v>
      </c>
      <c r="I243" s="330"/>
    </row>
    <row r="244" spans="1:9">
      <c r="A244" s="382">
        <v>190</v>
      </c>
      <c r="B244" s="378" t="s">
        <v>162</v>
      </c>
      <c r="C244" s="398">
        <v>3094</v>
      </c>
      <c r="D244" s="374">
        <f>1157+1040+742-26</f>
        <v>2913</v>
      </c>
      <c r="E244" s="3">
        <f t="shared" si="26"/>
        <v>181</v>
      </c>
      <c r="F244" s="9">
        <v>7.33</v>
      </c>
      <c r="G244" s="26">
        <f t="shared" ref="G243:G244" si="28">E244*F244+H244</f>
        <v>1323.32</v>
      </c>
      <c r="H244" s="394">
        <v>-3.41</v>
      </c>
      <c r="I244" s="330" t="s">
        <v>308</v>
      </c>
    </row>
    <row r="245" spans="1:9">
      <c r="A245" s="424">
        <v>191</v>
      </c>
      <c r="B245" s="423" t="s">
        <v>163</v>
      </c>
      <c r="C245" s="448">
        <v>10752</v>
      </c>
      <c r="D245" s="420">
        <f>11142-66</f>
        <v>11076</v>
      </c>
      <c r="E245" s="3">
        <f t="shared" ref="E245" si="29">C245-D245</f>
        <v>-324</v>
      </c>
      <c r="F245" s="9">
        <v>7.33</v>
      </c>
      <c r="G245" s="26"/>
      <c r="H245" s="44">
        <v>-0.72</v>
      </c>
      <c r="I245" s="330"/>
    </row>
    <row r="246" spans="1:9" ht="18.75" customHeight="1">
      <c r="A246" s="67">
        <v>192</v>
      </c>
      <c r="B246" s="278" t="s">
        <v>164</v>
      </c>
      <c r="C246" s="21">
        <v>9905</v>
      </c>
      <c r="D246" s="24">
        <f>6794+754+160+280+500+320+167+196+97+230+183+100+139</f>
        <v>9920</v>
      </c>
      <c r="E246" s="3">
        <f>C246-D246</f>
        <v>-15</v>
      </c>
      <c r="F246" s="9">
        <v>7.33</v>
      </c>
      <c r="G246" s="26"/>
      <c r="H246" s="44">
        <v>-1.1299999999999999</v>
      </c>
      <c r="I246" s="330"/>
    </row>
    <row r="247" spans="1:9" ht="31.5" customHeight="1">
      <c r="A247" s="214">
        <v>193</v>
      </c>
      <c r="B247" s="292" t="s">
        <v>165</v>
      </c>
      <c r="C247" s="215">
        <v>17</v>
      </c>
      <c r="D247" s="215">
        <v>0</v>
      </c>
      <c r="E247" s="216">
        <f>C247-D247</f>
        <v>17</v>
      </c>
      <c r="F247" s="217">
        <v>5.93</v>
      </c>
      <c r="G247" s="26">
        <f>E247*F247+H247</f>
        <v>100.81</v>
      </c>
      <c r="H247" s="50"/>
      <c r="I247" s="330" t="s">
        <v>376</v>
      </c>
    </row>
    <row r="248" spans="1:9" ht="17.25" customHeight="1">
      <c r="A248" s="516">
        <v>194</v>
      </c>
      <c r="B248" s="627" t="s">
        <v>166</v>
      </c>
      <c r="C248" s="591">
        <v>1805</v>
      </c>
      <c r="D248" s="623">
        <v>1771</v>
      </c>
      <c r="E248" s="13">
        <v>27</v>
      </c>
      <c r="F248" s="36">
        <v>5.93</v>
      </c>
      <c r="G248" s="473">
        <f>E248*F248+E249*F249+E250*F250+H248</f>
        <v>207.21999999999997</v>
      </c>
      <c r="H248" s="44"/>
      <c r="I248" s="330"/>
    </row>
    <row r="249" spans="1:9" ht="21" customHeight="1">
      <c r="A249" s="544"/>
      <c r="B249" s="628"/>
      <c r="C249" s="626"/>
      <c r="D249" s="624"/>
      <c r="E249" s="13">
        <v>7</v>
      </c>
      <c r="F249" s="36">
        <v>6.73</v>
      </c>
      <c r="G249" s="474"/>
      <c r="H249" s="51"/>
      <c r="I249" s="330"/>
    </row>
    <row r="250" spans="1:9" ht="21" customHeight="1">
      <c r="A250" s="517"/>
      <c r="B250" s="629"/>
      <c r="C250" s="592"/>
      <c r="D250" s="625"/>
      <c r="E250" s="13"/>
      <c r="F250" s="36">
        <v>7.33</v>
      </c>
      <c r="G250" s="497"/>
      <c r="H250" s="51"/>
      <c r="I250" s="330"/>
    </row>
    <row r="251" spans="1:9" ht="20.25" customHeight="1">
      <c r="A251" s="424">
        <v>195</v>
      </c>
      <c r="B251" s="423" t="s">
        <v>167</v>
      </c>
      <c r="C251" s="448">
        <v>19991</v>
      </c>
      <c r="D251" s="449">
        <f>14939+505+347+152+81+324+648+111+46+155+452+148+742+520+594-11</f>
        <v>19753</v>
      </c>
      <c r="E251" s="3">
        <f>C251-D251</f>
        <v>238</v>
      </c>
      <c r="F251" s="9">
        <v>7.33</v>
      </c>
      <c r="G251" s="26">
        <f>E251*F251+H251</f>
        <v>1743.52</v>
      </c>
      <c r="H251" s="44">
        <v>-1.02</v>
      </c>
      <c r="I251" s="330"/>
    </row>
    <row r="252" spans="1:9" ht="17.25" customHeight="1">
      <c r="A252" s="67">
        <v>196</v>
      </c>
      <c r="B252" s="278" t="s">
        <v>168</v>
      </c>
      <c r="C252" s="441">
        <v>3623</v>
      </c>
      <c r="D252" s="30">
        <f>2299+1+168+16+62+102+48+148+351+237+57</f>
        <v>3489</v>
      </c>
      <c r="E252" s="3">
        <f>C252-D252</f>
        <v>134</v>
      </c>
      <c r="F252" s="9">
        <v>7.33</v>
      </c>
      <c r="G252" s="26">
        <f>E252*F252+H252</f>
        <v>942.9</v>
      </c>
      <c r="H252" s="44">
        <v>-39.32</v>
      </c>
      <c r="I252" s="330"/>
    </row>
    <row r="253" spans="1:9" ht="18" customHeight="1">
      <c r="A253" s="485">
        <v>197</v>
      </c>
      <c r="B253" s="487" t="s">
        <v>169</v>
      </c>
      <c r="C253" s="502">
        <v>6049</v>
      </c>
      <c r="D253" s="493">
        <f>4456+80+278+400+20+90+138+123+58+297</f>
        <v>5940</v>
      </c>
      <c r="E253" s="3">
        <v>66</v>
      </c>
      <c r="F253" s="9">
        <v>6.73</v>
      </c>
      <c r="G253" s="473">
        <f>E253*F253+E254*F254+H253</f>
        <v>759.37</v>
      </c>
      <c r="H253" s="44"/>
      <c r="I253" s="330"/>
    </row>
    <row r="254" spans="1:9" ht="18" customHeight="1">
      <c r="A254" s="486"/>
      <c r="B254" s="488"/>
      <c r="C254" s="503"/>
      <c r="D254" s="494"/>
      <c r="E254" s="3">
        <v>43</v>
      </c>
      <c r="F254" s="9">
        <v>7.33</v>
      </c>
      <c r="G254" s="497"/>
      <c r="H254" s="51"/>
      <c r="I254" s="330"/>
    </row>
    <row r="255" spans="1:9" ht="15.75" customHeight="1">
      <c r="A255" s="416">
        <v>198</v>
      </c>
      <c r="B255" s="418" t="s">
        <v>323</v>
      </c>
      <c r="C255" s="448">
        <v>19000</v>
      </c>
      <c r="D255" s="420">
        <f>12458+168+337+324+12+421+486+810+81+445+445+534+445+445+297+520+445</f>
        <v>18673</v>
      </c>
      <c r="E255" s="3">
        <f>C255-D255</f>
        <v>327</v>
      </c>
      <c r="F255" s="9">
        <v>7.33</v>
      </c>
      <c r="G255" s="419">
        <f>E255*F255+H255</f>
        <v>2394.5</v>
      </c>
      <c r="H255" s="44">
        <v>-2.41</v>
      </c>
      <c r="I255" s="427"/>
    </row>
    <row r="256" spans="1:9" ht="20.25" customHeight="1">
      <c r="A256" s="480">
        <v>199</v>
      </c>
      <c r="B256" s="575" t="s">
        <v>170</v>
      </c>
      <c r="C256" s="481">
        <v>17533</v>
      </c>
      <c r="D256" s="482">
        <f>15386+77+198+104+82+66+434+295+243+76+147+244</f>
        <v>17352</v>
      </c>
      <c r="E256" s="280">
        <v>86</v>
      </c>
      <c r="F256" s="19">
        <v>6.73</v>
      </c>
      <c r="G256" s="576">
        <f>E256*F256+E257*F257+H256</f>
        <v>1261.67</v>
      </c>
      <c r="H256" s="44">
        <f>-6.76-6.7</f>
        <v>-13.46</v>
      </c>
      <c r="I256" s="330"/>
    </row>
    <row r="257" spans="1:9" ht="20.25" customHeight="1">
      <c r="A257" s="480"/>
      <c r="B257" s="575"/>
      <c r="C257" s="481"/>
      <c r="D257" s="482"/>
      <c r="E257" s="280">
        <v>95</v>
      </c>
      <c r="F257" s="19">
        <v>7.33</v>
      </c>
      <c r="G257" s="484"/>
      <c r="H257" s="51"/>
      <c r="I257" s="330"/>
    </row>
    <row r="258" spans="1:9" ht="22.5" customHeight="1">
      <c r="A258" s="342">
        <v>200</v>
      </c>
      <c r="B258" s="343" t="s">
        <v>170</v>
      </c>
      <c r="C258" s="528" t="s">
        <v>293</v>
      </c>
      <c r="D258" s="529"/>
      <c r="E258" s="529"/>
      <c r="F258" s="529"/>
      <c r="G258" s="530"/>
      <c r="H258" s="50"/>
      <c r="I258" s="330"/>
    </row>
    <row r="259" spans="1:9">
      <c r="A259" s="67">
        <v>201</v>
      </c>
      <c r="B259" s="278" t="s">
        <v>318</v>
      </c>
      <c r="C259" s="80">
        <v>17985</v>
      </c>
      <c r="D259" s="79">
        <f>14729+462+235+104+178+203+204+179+171+441+390+83+119+53+130+159</f>
        <v>17840</v>
      </c>
      <c r="E259" s="3">
        <f>C259-D259</f>
        <v>145</v>
      </c>
      <c r="F259" s="9">
        <v>7.33</v>
      </c>
      <c r="G259" s="229">
        <f>E259*F259+H259</f>
        <v>1062.8499999999999</v>
      </c>
      <c r="H259" s="44"/>
      <c r="I259" s="227"/>
    </row>
    <row r="260" spans="1:9">
      <c r="A260" s="424">
        <v>202</v>
      </c>
      <c r="B260" s="423" t="s">
        <v>171</v>
      </c>
      <c r="C260" s="448">
        <v>11899</v>
      </c>
      <c r="D260" s="420">
        <f>7795+1000+500+500+500+500+500+1000-59</f>
        <v>12236</v>
      </c>
      <c r="E260" s="3">
        <f>C260-D260</f>
        <v>-337</v>
      </c>
      <c r="F260" s="9">
        <v>7.33</v>
      </c>
      <c r="G260" s="419"/>
      <c r="H260" s="436">
        <v>-1.92</v>
      </c>
      <c r="I260" s="330"/>
    </row>
    <row r="261" spans="1:9" ht="29.25" customHeight="1">
      <c r="A261" s="214">
        <v>203</v>
      </c>
      <c r="B261" s="292" t="s">
        <v>172</v>
      </c>
      <c r="C261" s="215">
        <v>2</v>
      </c>
      <c r="D261" s="215">
        <v>1</v>
      </c>
      <c r="E261" s="216">
        <f>C261-D261</f>
        <v>1</v>
      </c>
      <c r="F261" s="217">
        <v>5.93</v>
      </c>
      <c r="G261" s="26">
        <f>E261*F261+H261</f>
        <v>5.93</v>
      </c>
      <c r="H261" s="44"/>
      <c r="I261" s="330" t="s">
        <v>376</v>
      </c>
    </row>
    <row r="262" spans="1:9" ht="30" customHeight="1">
      <c r="A262" s="67">
        <v>204</v>
      </c>
      <c r="B262" s="278" t="s">
        <v>173</v>
      </c>
      <c r="C262" s="60">
        <v>14889</v>
      </c>
      <c r="D262" s="59">
        <f>11123+1180+389+114+437+431+742+148+193+115</f>
        <v>14872</v>
      </c>
      <c r="E262" s="126">
        <f>C262-D262</f>
        <v>17</v>
      </c>
      <c r="F262" s="17">
        <v>7.33</v>
      </c>
      <c r="G262" s="26">
        <f>E262*F262+H262</f>
        <v>102.62</v>
      </c>
      <c r="H262" s="58">
        <v>-21.99</v>
      </c>
      <c r="I262" s="227"/>
    </row>
    <row r="263" spans="1:9" ht="31.5">
      <c r="A263" s="67">
        <v>205</v>
      </c>
      <c r="B263" s="295" t="s">
        <v>174</v>
      </c>
      <c r="C263" s="481" t="s">
        <v>293</v>
      </c>
      <c r="D263" s="481"/>
      <c r="E263" s="481"/>
      <c r="F263" s="481"/>
      <c r="G263" s="481"/>
      <c r="H263" s="481"/>
      <c r="I263" s="330" t="s">
        <v>338</v>
      </c>
    </row>
    <row r="264" spans="1:9" ht="30.75" customHeight="1">
      <c r="A264" s="133">
        <v>206</v>
      </c>
      <c r="B264" s="283" t="s">
        <v>174</v>
      </c>
      <c r="C264" s="127">
        <v>131</v>
      </c>
      <c r="D264" s="128">
        <v>131</v>
      </c>
      <c r="E264" s="127">
        <f>C264-D264</f>
        <v>0</v>
      </c>
      <c r="F264" s="18">
        <v>6.73</v>
      </c>
      <c r="G264" s="236"/>
      <c r="H264" s="129"/>
      <c r="I264" s="330"/>
    </row>
    <row r="265" spans="1:9">
      <c r="A265" s="480">
        <v>207</v>
      </c>
      <c r="B265" s="498" t="s">
        <v>175</v>
      </c>
      <c r="C265" s="491">
        <v>11072</v>
      </c>
      <c r="D265" s="493">
        <f>10037+463+203+211-2</f>
        <v>10912</v>
      </c>
      <c r="E265" s="3">
        <v>152</v>
      </c>
      <c r="F265" s="9">
        <v>6.73</v>
      </c>
      <c r="G265" s="473">
        <f>E265*F265+E266*F266+H265</f>
        <v>1081.6000000000001</v>
      </c>
      <c r="H265" s="572"/>
      <c r="I265" s="330"/>
    </row>
    <row r="266" spans="1:9">
      <c r="A266" s="480"/>
      <c r="B266" s="499"/>
      <c r="C266" s="492"/>
      <c r="D266" s="494"/>
      <c r="E266" s="3">
        <v>8</v>
      </c>
      <c r="F266" s="9">
        <v>7.33</v>
      </c>
      <c r="G266" s="497"/>
      <c r="H266" s="573"/>
      <c r="I266" s="330"/>
    </row>
    <row r="267" spans="1:9" ht="15.75" customHeight="1">
      <c r="A267" s="174">
        <v>208</v>
      </c>
      <c r="B267" s="277" t="s">
        <v>176</v>
      </c>
      <c r="C267" s="441">
        <v>4792</v>
      </c>
      <c r="D267" s="175">
        <f>1362+645+676+238+970+445+297-3</f>
        <v>4630</v>
      </c>
      <c r="E267" s="3">
        <f>C267-D267</f>
        <v>162</v>
      </c>
      <c r="F267" s="9">
        <v>7.33</v>
      </c>
      <c r="G267" s="26">
        <f t="shared" ref="G267" si="30">E267*F267+H267</f>
        <v>1182.06</v>
      </c>
      <c r="H267" s="44">
        <v>-5.4</v>
      </c>
      <c r="I267" s="227"/>
    </row>
    <row r="268" spans="1:9" ht="28.5" customHeight="1">
      <c r="A268" s="281">
        <v>209</v>
      </c>
      <c r="B268" s="295" t="s">
        <v>177</v>
      </c>
      <c r="C268" s="34"/>
      <c r="D268" s="33"/>
      <c r="E268" s="265"/>
      <c r="F268" s="17"/>
      <c r="G268" s="237"/>
      <c r="H268" s="44"/>
      <c r="I268" s="330"/>
    </row>
    <row r="269" spans="1:9">
      <c r="A269" s="480">
        <v>210</v>
      </c>
      <c r="B269" s="575" t="s">
        <v>178</v>
      </c>
      <c r="C269" s="543">
        <v>3983</v>
      </c>
      <c r="D269" s="482">
        <f>3119+86+106+40+37+157+80+114+36+89</f>
        <v>3864</v>
      </c>
      <c r="E269" s="280">
        <v>62</v>
      </c>
      <c r="F269" s="19">
        <v>6.73</v>
      </c>
      <c r="G269" s="574">
        <f>E269*F269+E270*F270+H269</f>
        <v>827.28000000000009</v>
      </c>
      <c r="H269" s="44">
        <f>-4.19-2.54-1.06</f>
        <v>-7.7900000000000009</v>
      </c>
      <c r="I269" s="330"/>
    </row>
    <row r="270" spans="1:9">
      <c r="A270" s="480"/>
      <c r="B270" s="575"/>
      <c r="C270" s="543"/>
      <c r="D270" s="482"/>
      <c r="E270" s="280">
        <v>57</v>
      </c>
      <c r="F270" s="19">
        <v>7.33</v>
      </c>
      <c r="G270" s="574"/>
      <c r="H270" s="51"/>
      <c r="I270" s="330"/>
    </row>
    <row r="271" spans="1:9">
      <c r="A271" s="260" t="s">
        <v>179</v>
      </c>
      <c r="B271" s="341" t="s">
        <v>180</v>
      </c>
      <c r="C271" s="466">
        <v>876</v>
      </c>
      <c r="D271" s="66">
        <f>50+505+252+27+74-1</f>
        <v>907</v>
      </c>
      <c r="E271" s="280">
        <f t="shared" ref="E271:E276" si="31">C271-D271</f>
        <v>-31</v>
      </c>
      <c r="F271" s="19">
        <v>7.33</v>
      </c>
      <c r="G271" s="271"/>
      <c r="H271" s="44">
        <v>-2.37</v>
      </c>
      <c r="I271" s="330"/>
    </row>
    <row r="272" spans="1:9" ht="33" customHeight="1">
      <c r="A272" s="282">
        <v>211</v>
      </c>
      <c r="B272" s="290" t="s">
        <v>349</v>
      </c>
      <c r="C272" s="279">
        <v>797</v>
      </c>
      <c r="D272" s="270">
        <f>109+113+58+1+1+1+1+257+122</f>
        <v>663</v>
      </c>
      <c r="E272" s="113">
        <f t="shared" si="31"/>
        <v>134</v>
      </c>
      <c r="F272" s="18">
        <v>7.33</v>
      </c>
      <c r="G272" s="236">
        <f t="shared" ref="G272" si="32">E272*F272+H272</f>
        <v>982.22</v>
      </c>
      <c r="H272" s="44"/>
      <c r="I272" s="330" t="s">
        <v>352</v>
      </c>
    </row>
    <row r="273" spans="1:9">
      <c r="A273" s="485">
        <v>212</v>
      </c>
      <c r="B273" s="487" t="s">
        <v>178</v>
      </c>
      <c r="C273" s="491">
        <v>13688</v>
      </c>
      <c r="D273" s="493">
        <f>10298+338+200+71+567+206+148+479+247+292+367+29+200</f>
        <v>13442</v>
      </c>
      <c r="E273" s="222">
        <v>132</v>
      </c>
      <c r="F273" s="18">
        <v>6.73</v>
      </c>
      <c r="G273" s="473">
        <f>E273*F273+E274*F274+H273</f>
        <v>1710.33</v>
      </c>
      <c r="H273" s="223">
        <v>-13.65</v>
      </c>
      <c r="I273" s="330"/>
    </row>
    <row r="274" spans="1:9">
      <c r="A274" s="486"/>
      <c r="B274" s="488"/>
      <c r="C274" s="492"/>
      <c r="D274" s="494"/>
      <c r="E274" s="266">
        <v>114</v>
      </c>
      <c r="F274" s="18">
        <v>7.33</v>
      </c>
      <c r="G274" s="497"/>
      <c r="H274" s="272"/>
      <c r="I274" s="330"/>
    </row>
    <row r="275" spans="1:9" ht="30" customHeight="1">
      <c r="A275" s="67">
        <v>213</v>
      </c>
      <c r="B275" s="283" t="s">
        <v>181</v>
      </c>
      <c r="C275" s="3">
        <v>3759</v>
      </c>
      <c r="D275" s="4">
        <f>2207+353+118+81+101+101+16+66+66+66+148+50+182+99</f>
        <v>3654</v>
      </c>
      <c r="E275" s="3">
        <f t="shared" si="31"/>
        <v>105</v>
      </c>
      <c r="F275" s="9">
        <v>7.33</v>
      </c>
      <c r="G275" s="229">
        <f>E275*F275+H275</f>
        <v>717.91</v>
      </c>
      <c r="H275" s="44">
        <v>-51.74</v>
      </c>
      <c r="I275" s="330"/>
    </row>
    <row r="276" spans="1:9" ht="33" customHeight="1">
      <c r="A276" s="132">
        <v>214</v>
      </c>
      <c r="B276" s="285" t="s">
        <v>182</v>
      </c>
      <c r="C276" s="5">
        <v>998</v>
      </c>
      <c r="D276" s="5">
        <v>1002</v>
      </c>
      <c r="E276" s="3">
        <f t="shared" si="31"/>
        <v>-4</v>
      </c>
      <c r="F276" s="9">
        <v>5.93</v>
      </c>
      <c r="G276" s="245"/>
      <c r="H276" s="44"/>
      <c r="I276" s="330"/>
    </row>
    <row r="277" spans="1:9" ht="20.25" customHeight="1">
      <c r="A277" s="485">
        <v>215</v>
      </c>
      <c r="B277" s="561" t="s">
        <v>183</v>
      </c>
      <c r="C277" s="502">
        <v>42555</v>
      </c>
      <c r="D277" s="493">
        <f>27947+505+590+590+843+555+82+356+486+810+329+292+1188+445+445+742+371+668+297+1188+297+594+297+445+817+148+594</f>
        <v>41921</v>
      </c>
      <c r="E277" s="3">
        <v>261</v>
      </c>
      <c r="F277" s="9">
        <v>6.73</v>
      </c>
      <c r="G277" s="473">
        <f>E277*F277+E278*F278+H277</f>
        <v>4411.9400000000005</v>
      </c>
      <c r="H277" s="45">
        <v>-78.680000000000007</v>
      </c>
      <c r="I277" s="495" t="s">
        <v>7</v>
      </c>
    </row>
    <row r="278" spans="1:9" ht="17.25" customHeight="1">
      <c r="A278" s="486"/>
      <c r="B278" s="562"/>
      <c r="C278" s="503"/>
      <c r="D278" s="494"/>
      <c r="E278" s="3">
        <v>373</v>
      </c>
      <c r="F278" s="9">
        <v>7.33</v>
      </c>
      <c r="G278" s="497"/>
      <c r="H278" s="45"/>
      <c r="I278" s="495"/>
    </row>
    <row r="279" spans="1:9" ht="18.75" customHeight="1">
      <c r="A279" s="485">
        <v>216</v>
      </c>
      <c r="B279" s="487" t="s">
        <v>184</v>
      </c>
      <c r="C279" s="491">
        <v>14366</v>
      </c>
      <c r="D279" s="493">
        <f>12095+206+288+486+33+415+297+445</f>
        <v>14265</v>
      </c>
      <c r="E279" s="3">
        <v>12</v>
      </c>
      <c r="F279" s="9">
        <v>6.73</v>
      </c>
      <c r="G279" s="473">
        <f>E279*F279+E280*F280+H279</f>
        <v>720.51</v>
      </c>
      <c r="H279" s="44">
        <f>-1.46-1.38-3.44-1.19-5.15</f>
        <v>-12.62</v>
      </c>
      <c r="I279" s="330"/>
    </row>
    <row r="280" spans="1:9" ht="15" customHeight="1">
      <c r="A280" s="486"/>
      <c r="B280" s="488"/>
      <c r="C280" s="492"/>
      <c r="D280" s="494"/>
      <c r="E280" s="3">
        <v>89</v>
      </c>
      <c r="F280" s="9">
        <v>7.33</v>
      </c>
      <c r="G280" s="497"/>
      <c r="H280" s="51"/>
      <c r="I280" s="330"/>
    </row>
    <row r="281" spans="1:9">
      <c r="A281" s="424">
        <v>217</v>
      </c>
      <c r="B281" s="423" t="s">
        <v>185</v>
      </c>
      <c r="C281" s="448">
        <v>28206</v>
      </c>
      <c r="D281" s="420">
        <f>19378+1686+1620+1620+1485+1485+1485-212</f>
        <v>28547</v>
      </c>
      <c r="E281" s="3">
        <f>C281-D281</f>
        <v>-341</v>
      </c>
      <c r="F281" s="9">
        <v>7.33</v>
      </c>
      <c r="G281" s="419"/>
      <c r="H281" s="44">
        <v>-2.3199999999999998</v>
      </c>
      <c r="I281" s="427"/>
    </row>
    <row r="282" spans="1:9" ht="27" customHeight="1">
      <c r="A282" s="67">
        <v>218</v>
      </c>
      <c r="B282" s="278" t="s">
        <v>186</v>
      </c>
      <c r="C282" s="448">
        <v>21995</v>
      </c>
      <c r="D282" s="102">
        <f>16655+826+526+288+545+625+615+1634-4</f>
        <v>21710</v>
      </c>
      <c r="E282" s="3">
        <f>C282-D282</f>
        <v>285</v>
      </c>
      <c r="F282" s="9">
        <v>7.33</v>
      </c>
      <c r="G282" s="229">
        <f>E282*F282+H282</f>
        <v>2086.98</v>
      </c>
      <c r="H282" s="44">
        <v>-2.0699999999999998</v>
      </c>
      <c r="I282" s="330"/>
    </row>
    <row r="283" spans="1:9">
      <c r="A283" s="268">
        <v>219</v>
      </c>
      <c r="B283" s="274" t="s">
        <v>187</v>
      </c>
      <c r="C283" s="262">
        <v>10483</v>
      </c>
      <c r="D283" s="263">
        <v>10289</v>
      </c>
      <c r="E283" s="3">
        <f>C283-D283</f>
        <v>194</v>
      </c>
      <c r="F283" s="9">
        <v>7.33</v>
      </c>
      <c r="G283" s="264">
        <f>E283*F283+H283</f>
        <v>1422.02</v>
      </c>
      <c r="H283" s="44"/>
      <c r="I283" s="227"/>
    </row>
    <row r="284" spans="1:9">
      <c r="A284" s="67">
        <v>220</v>
      </c>
      <c r="B284" s="278" t="s">
        <v>316</v>
      </c>
      <c r="C284" s="106">
        <v>21053</v>
      </c>
      <c r="D284" s="107">
        <f>17673+566+481+500+912+712</f>
        <v>20844</v>
      </c>
      <c r="E284" s="3">
        <f>C284-D284</f>
        <v>209</v>
      </c>
      <c r="F284" s="9">
        <v>7.33</v>
      </c>
      <c r="G284" s="229">
        <f>E284*F284+H284</f>
        <v>1524.64</v>
      </c>
      <c r="H284" s="44">
        <v>-7.33</v>
      </c>
      <c r="I284" s="330"/>
    </row>
    <row r="285" spans="1:9">
      <c r="A285" s="424">
        <v>221</v>
      </c>
      <c r="B285" s="423" t="s">
        <v>188</v>
      </c>
      <c r="C285" s="448">
        <v>6058</v>
      </c>
      <c r="D285" s="420">
        <f>6858-138</f>
        <v>6720</v>
      </c>
      <c r="E285" s="3">
        <f>C285-D285</f>
        <v>-662</v>
      </c>
      <c r="F285" s="9">
        <v>7.33</v>
      </c>
      <c r="G285" s="419"/>
      <c r="H285" s="44">
        <v>-2.4300000000000002</v>
      </c>
      <c r="I285" s="330"/>
    </row>
    <row r="286" spans="1:9">
      <c r="A286" s="353">
        <v>222</v>
      </c>
      <c r="B286" s="352" t="s">
        <v>189</v>
      </c>
      <c r="C286" s="355">
        <v>24647</v>
      </c>
      <c r="D286" s="354">
        <f>17641+144+740+810+334+465+453+228+319+273+269+808+1529-1+298</f>
        <v>24310</v>
      </c>
      <c r="E286" s="3">
        <f t="shared" ref="E286:E288" si="33">C286-D286</f>
        <v>337</v>
      </c>
      <c r="F286" s="9">
        <v>7.33</v>
      </c>
      <c r="G286" s="349">
        <f t="shared" ref="G286:G288" si="34">E286*F286+H286</f>
        <v>2470.21</v>
      </c>
      <c r="H286" s="44"/>
      <c r="I286" s="330"/>
    </row>
    <row r="287" spans="1:9" ht="27" customHeight="1">
      <c r="A287" s="67">
        <v>223</v>
      </c>
      <c r="B287" s="286" t="s">
        <v>74</v>
      </c>
      <c r="C287" s="10"/>
      <c r="D287" s="11"/>
      <c r="E287" s="3"/>
      <c r="F287" s="9"/>
      <c r="G287" s="419"/>
      <c r="H287" s="44"/>
      <c r="I287" s="330"/>
    </row>
    <row r="288" spans="1:9">
      <c r="A288" s="67">
        <v>224</v>
      </c>
      <c r="B288" s="278" t="s">
        <v>190</v>
      </c>
      <c r="C288" s="441">
        <v>28695</v>
      </c>
      <c r="D288" s="79">
        <f>18893+1517+13+473+421+777+3+673+1322+579+297+237+541+876+588+1028+267</f>
        <v>28505</v>
      </c>
      <c r="E288" s="3">
        <f t="shared" si="33"/>
        <v>190</v>
      </c>
      <c r="F288" s="9">
        <v>7.33</v>
      </c>
      <c r="G288" s="419">
        <f t="shared" si="34"/>
        <v>1351.02</v>
      </c>
      <c r="H288" s="44">
        <v>-41.68</v>
      </c>
      <c r="I288" s="330"/>
    </row>
    <row r="289" spans="1:10" ht="28.5" customHeight="1">
      <c r="A289" s="67">
        <v>225</v>
      </c>
      <c r="B289" s="286" t="s">
        <v>191</v>
      </c>
      <c r="C289" s="3"/>
      <c r="D289" s="4"/>
      <c r="E289" s="3"/>
      <c r="F289" s="9"/>
      <c r="G289" s="229"/>
      <c r="H289" s="44"/>
      <c r="I289" s="330"/>
    </row>
    <row r="290" spans="1:10" ht="27.75" customHeight="1">
      <c r="A290" s="67">
        <v>226</v>
      </c>
      <c r="B290" s="278" t="s">
        <v>192</v>
      </c>
      <c r="C290" s="48">
        <v>52349</v>
      </c>
      <c r="D290" s="49">
        <f>28851+4549+2529+1011+367+834+868+2+1386+1224+1269+1217+717+820+2029+2789+1788</f>
        <v>52250</v>
      </c>
      <c r="E290" s="3">
        <f>C290-D290</f>
        <v>99</v>
      </c>
      <c r="F290" s="9">
        <v>7.33</v>
      </c>
      <c r="G290" s="229">
        <f>E290*F290+H290</f>
        <v>710.25</v>
      </c>
      <c r="H290" s="44">
        <v>-15.42</v>
      </c>
      <c r="I290" s="330"/>
    </row>
    <row r="291" spans="1:10">
      <c r="A291" s="424">
        <v>227</v>
      </c>
      <c r="B291" s="423" t="s">
        <v>193</v>
      </c>
      <c r="C291" s="448">
        <v>2680</v>
      </c>
      <c r="D291" s="435">
        <f>2977-47</f>
        <v>2930</v>
      </c>
      <c r="E291" s="3">
        <f>C291-D291</f>
        <v>-250</v>
      </c>
      <c r="F291" s="9">
        <v>7.33</v>
      </c>
      <c r="G291" s="419"/>
      <c r="H291" s="44">
        <v>-5.8</v>
      </c>
      <c r="I291" s="330"/>
    </row>
    <row r="292" spans="1:10">
      <c r="A292" s="424">
        <v>228</v>
      </c>
      <c r="B292" s="423" t="s">
        <v>193</v>
      </c>
      <c r="C292" s="448">
        <v>21702</v>
      </c>
      <c r="D292" s="430">
        <f>19540+1134+1029-45</f>
        <v>21658</v>
      </c>
      <c r="E292" s="3">
        <f>C292-D292</f>
        <v>44</v>
      </c>
      <c r="F292" s="9">
        <v>7.33</v>
      </c>
      <c r="G292" s="419">
        <f>E292*F292+H292</f>
        <v>320.09999999999997</v>
      </c>
      <c r="H292" s="44">
        <v>-2.42</v>
      </c>
      <c r="I292" s="330"/>
    </row>
    <row r="293" spans="1:10">
      <c r="A293" s="133">
        <v>229</v>
      </c>
      <c r="B293" s="429" t="s">
        <v>312</v>
      </c>
      <c r="C293" s="426">
        <v>22461</v>
      </c>
      <c r="D293" s="420">
        <f>16310+448+170+362+366+530+288+102+4+75+172+10+5+62+475+282+617+540+287+188+115+42+183+34+37+65+269+157</f>
        <v>22195</v>
      </c>
      <c r="E293" s="3">
        <f>C293-D293</f>
        <v>266</v>
      </c>
      <c r="F293" s="9">
        <v>7.33</v>
      </c>
      <c r="G293" s="419">
        <f>E293*F293+H293</f>
        <v>1891.1399999999999</v>
      </c>
      <c r="H293" s="51">
        <f>-6.36-0.78-5.9-6.04-5.66-2.57-6.44-0.7-5.93-0.74-0.25-6.14-6.33-4.8</f>
        <v>-58.64</v>
      </c>
      <c r="I293" s="330"/>
      <c r="J293" s="1"/>
    </row>
    <row r="294" spans="1:10" ht="15.75" customHeight="1">
      <c r="A294" s="416">
        <v>230</v>
      </c>
      <c r="B294" s="467" t="s">
        <v>194</v>
      </c>
      <c r="C294" s="457">
        <v>20843</v>
      </c>
      <c r="D294" s="456">
        <f>17253+1000+1000+1000+1000-109</f>
        <v>21144</v>
      </c>
      <c r="E294" s="454">
        <f>C294-D294</f>
        <v>-301</v>
      </c>
      <c r="F294" s="455">
        <v>7.33</v>
      </c>
      <c r="G294" s="451"/>
      <c r="H294" s="51">
        <v>-3.15</v>
      </c>
      <c r="I294" s="330"/>
      <c r="J294" s="1"/>
    </row>
    <row r="295" spans="1:10" ht="31.5" customHeight="1">
      <c r="A295" s="159">
        <v>231</v>
      </c>
      <c r="B295" s="450" t="s">
        <v>342</v>
      </c>
      <c r="C295" s="565" t="s">
        <v>293</v>
      </c>
      <c r="D295" s="566"/>
      <c r="E295" s="566"/>
      <c r="F295" s="566"/>
      <c r="G295" s="566"/>
      <c r="H295" s="567"/>
      <c r="I295" s="330" t="s">
        <v>372</v>
      </c>
      <c r="J295" s="1"/>
    </row>
    <row r="296" spans="1:10">
      <c r="A296" s="67">
        <v>232</v>
      </c>
      <c r="B296" s="278" t="s">
        <v>195</v>
      </c>
      <c r="C296" s="29">
        <v>614</v>
      </c>
      <c r="D296" s="28">
        <f>429+113</f>
        <v>542</v>
      </c>
      <c r="E296" s="3">
        <f>C296-D296</f>
        <v>72</v>
      </c>
      <c r="F296" s="17">
        <v>7.33</v>
      </c>
      <c r="G296" s="237">
        <f>E296*F296+H296</f>
        <v>527.76</v>
      </c>
      <c r="H296" s="44"/>
      <c r="I296" s="427" t="s">
        <v>341</v>
      </c>
      <c r="J296" s="1"/>
    </row>
    <row r="297" spans="1:10">
      <c r="A297" s="281">
        <v>233</v>
      </c>
      <c r="B297" s="293" t="s">
        <v>300</v>
      </c>
      <c r="C297" s="265">
        <v>23125</v>
      </c>
      <c r="D297" s="263">
        <v>22462</v>
      </c>
      <c r="E297" s="3">
        <f t="shared" ref="E297:E298" si="35">C297-D297</f>
        <v>663</v>
      </c>
      <c r="F297" s="37">
        <v>7.33</v>
      </c>
      <c r="G297" s="237">
        <f t="shared" ref="G297:G298" si="36">E297*F297+H297</f>
        <v>4859.79</v>
      </c>
      <c r="H297" s="44"/>
      <c r="I297" s="427"/>
      <c r="J297" s="1"/>
    </row>
    <row r="298" spans="1:10">
      <c r="A298" s="281">
        <v>234</v>
      </c>
      <c r="B298" s="293" t="s">
        <v>196</v>
      </c>
      <c r="C298" s="262">
        <v>16089</v>
      </c>
      <c r="D298" s="263">
        <v>15964</v>
      </c>
      <c r="E298" s="3">
        <f t="shared" si="35"/>
        <v>125</v>
      </c>
      <c r="F298" s="37">
        <v>7.33</v>
      </c>
      <c r="G298" s="237">
        <f t="shared" si="36"/>
        <v>916.25</v>
      </c>
      <c r="H298" s="44"/>
      <c r="I298" s="330"/>
      <c r="J298" s="1"/>
    </row>
    <row r="299" spans="1:10" ht="22.5" customHeight="1">
      <c r="A299" s="356">
        <v>235</v>
      </c>
      <c r="B299" s="362" t="s">
        <v>197</v>
      </c>
      <c r="C299" s="355">
        <v>144</v>
      </c>
      <c r="D299" s="363">
        <f>138+5+22</f>
        <v>165</v>
      </c>
      <c r="E299" s="3">
        <f>C299-D299</f>
        <v>-21</v>
      </c>
      <c r="F299" s="9">
        <v>7.33</v>
      </c>
      <c r="G299" s="360"/>
      <c r="H299" s="44">
        <f>-2.27-5.69</f>
        <v>-7.9600000000000009</v>
      </c>
      <c r="I299" s="330" t="s">
        <v>341</v>
      </c>
    </row>
    <row r="300" spans="1:10">
      <c r="A300" s="260">
        <v>236</v>
      </c>
      <c r="B300" s="278" t="s">
        <v>198</v>
      </c>
      <c r="C300" s="265">
        <v>4242</v>
      </c>
      <c r="D300" s="263">
        <v>4149</v>
      </c>
      <c r="E300" s="3">
        <f>C300-D300</f>
        <v>93</v>
      </c>
      <c r="F300" s="9">
        <v>7.33</v>
      </c>
      <c r="G300" s="271">
        <f>E300*F300+H300</f>
        <v>681.69</v>
      </c>
      <c r="H300" s="44"/>
      <c r="I300" s="330"/>
    </row>
    <row r="301" spans="1:10" ht="27" customHeight="1">
      <c r="A301" s="67">
        <v>237</v>
      </c>
      <c r="B301" s="278" t="s">
        <v>199</v>
      </c>
      <c r="C301" s="448">
        <v>9137</v>
      </c>
      <c r="D301" s="63">
        <f>6916+486+51+696+445+297+445-33</f>
        <v>9303</v>
      </c>
      <c r="E301" s="3">
        <f>C301-D301</f>
        <v>-166</v>
      </c>
      <c r="F301" s="9">
        <v>7.33</v>
      </c>
      <c r="G301" s="238"/>
      <c r="H301" s="44"/>
      <c r="I301" s="333"/>
    </row>
    <row r="302" spans="1:10">
      <c r="A302" s="275">
        <v>238</v>
      </c>
      <c r="B302" s="212" t="s">
        <v>309</v>
      </c>
      <c r="C302" s="262">
        <v>17411</v>
      </c>
      <c r="D302" s="267">
        <v>16869</v>
      </c>
      <c r="E302" s="3">
        <f>C302-D302</f>
        <v>542</v>
      </c>
      <c r="F302" s="9">
        <v>7.33</v>
      </c>
      <c r="G302" s="271">
        <f>E302*F302+H302</f>
        <v>3972.86</v>
      </c>
      <c r="H302" s="44"/>
      <c r="I302" s="227"/>
    </row>
    <row r="303" spans="1:10" ht="30.75" customHeight="1">
      <c r="A303" s="133">
        <v>239</v>
      </c>
      <c r="B303" s="277" t="s">
        <v>200</v>
      </c>
      <c r="C303" s="441">
        <v>10528</v>
      </c>
      <c r="D303" s="81">
        <f>6276+356+583+80+223+401+445+445+624+386+520-5</f>
        <v>10334</v>
      </c>
      <c r="E303" s="3">
        <f t="shared" ref="E303:E308" si="37">C303-D303</f>
        <v>194</v>
      </c>
      <c r="F303" s="9">
        <v>7.33</v>
      </c>
      <c r="G303" s="26">
        <f t="shared" ref="G303:G310" si="38">E303*F303+H303</f>
        <v>1421.49</v>
      </c>
      <c r="H303" s="44">
        <v>-0.53</v>
      </c>
      <c r="I303" s="333"/>
    </row>
    <row r="304" spans="1:10">
      <c r="A304" s="67">
        <v>240</v>
      </c>
      <c r="B304" s="278" t="s">
        <v>201</v>
      </c>
      <c r="C304" s="21">
        <v>8240</v>
      </c>
      <c r="D304" s="20">
        <f>6620+25+57+162+93+207+150+139+236+348+95</f>
        <v>8132</v>
      </c>
      <c r="E304" s="3">
        <f t="shared" si="37"/>
        <v>108</v>
      </c>
      <c r="F304" s="9">
        <v>7.33</v>
      </c>
      <c r="G304" s="26">
        <f t="shared" si="38"/>
        <v>784.31</v>
      </c>
      <c r="H304" s="44">
        <v>-7.33</v>
      </c>
      <c r="I304" s="333"/>
    </row>
    <row r="305" spans="1:9">
      <c r="A305" s="357">
        <v>241</v>
      </c>
      <c r="B305" s="358" t="s">
        <v>202</v>
      </c>
      <c r="C305" s="351">
        <v>10121</v>
      </c>
      <c r="D305" s="354">
        <f>7543+505+332+5+543+328+460+257</f>
        <v>9973</v>
      </c>
      <c r="E305" s="3">
        <f t="shared" si="37"/>
        <v>148</v>
      </c>
      <c r="F305" s="9">
        <v>7.33</v>
      </c>
      <c r="G305" s="26">
        <f t="shared" si="38"/>
        <v>1070.1799999999998</v>
      </c>
      <c r="H305" s="44">
        <f>-11.75-0.2-2.71</f>
        <v>-14.66</v>
      </c>
      <c r="I305" s="333"/>
    </row>
    <row r="306" spans="1:9" ht="33.75" customHeight="1">
      <c r="A306" s="142">
        <v>242</v>
      </c>
      <c r="B306" s="261" t="s">
        <v>203</v>
      </c>
      <c r="C306" s="448">
        <v>31927</v>
      </c>
      <c r="D306" s="246">
        <f>26510+438+171+432+109+903+1188+562+668+698-4</f>
        <v>31675</v>
      </c>
      <c r="E306" s="16">
        <f t="shared" si="37"/>
        <v>252</v>
      </c>
      <c r="F306" s="93">
        <v>7.33</v>
      </c>
      <c r="G306" s="26">
        <f t="shared" si="38"/>
        <v>1840.16</v>
      </c>
      <c r="H306" s="187">
        <v>-7</v>
      </c>
      <c r="I306" s="338"/>
    </row>
    <row r="307" spans="1:9" ht="31.5">
      <c r="A307" s="67">
        <v>243</v>
      </c>
      <c r="B307" s="283" t="s">
        <v>360</v>
      </c>
      <c r="C307" s="6">
        <v>8097</v>
      </c>
      <c r="D307" s="4">
        <f>7301+639+119+17+6+2+10+1</f>
        <v>8095</v>
      </c>
      <c r="E307" s="3">
        <f t="shared" si="37"/>
        <v>2</v>
      </c>
      <c r="F307" s="9">
        <v>7.33</v>
      </c>
      <c r="G307" s="26"/>
      <c r="H307" s="44">
        <v>-14.66</v>
      </c>
      <c r="I307" s="333"/>
    </row>
    <row r="308" spans="1:9">
      <c r="A308" s="67">
        <v>244</v>
      </c>
      <c r="B308" s="278" t="s">
        <v>370</v>
      </c>
      <c r="C308" s="27">
        <v>7024</v>
      </c>
      <c r="D308" s="28">
        <f>6408+41+9+14+226+103</f>
        <v>6801</v>
      </c>
      <c r="E308" s="3">
        <f t="shared" si="37"/>
        <v>223</v>
      </c>
      <c r="F308" s="9">
        <v>7.33</v>
      </c>
      <c r="G308" s="26">
        <f t="shared" si="38"/>
        <v>1619.12</v>
      </c>
      <c r="H308" s="44">
        <v>-15.47</v>
      </c>
      <c r="I308" s="333"/>
    </row>
    <row r="309" spans="1:9" ht="28.5" customHeight="1">
      <c r="A309" s="171">
        <v>245</v>
      </c>
      <c r="B309" s="278" t="s">
        <v>204</v>
      </c>
      <c r="C309" s="173">
        <v>11936</v>
      </c>
      <c r="D309" s="172">
        <f>3720+959+102+786+959+733+787+1322+869+77+847+320+197</f>
        <v>11678</v>
      </c>
      <c r="E309" s="3">
        <f t="shared" ref="E309" si="39">C309-D309</f>
        <v>258</v>
      </c>
      <c r="F309" s="9">
        <v>7.33</v>
      </c>
      <c r="G309" s="26">
        <f t="shared" si="38"/>
        <v>1883.8100000000002</v>
      </c>
      <c r="H309" s="44">
        <v>-7.33</v>
      </c>
      <c r="I309" s="333"/>
    </row>
    <row r="310" spans="1:9" ht="30.75" customHeight="1">
      <c r="A310" s="67">
        <v>246</v>
      </c>
      <c r="B310" s="283" t="s">
        <v>205</v>
      </c>
      <c r="C310" s="16">
        <v>1197</v>
      </c>
      <c r="D310" s="4">
        <f>40+460</f>
        <v>500</v>
      </c>
      <c r="E310" s="3">
        <f>C310-D310</f>
        <v>697</v>
      </c>
      <c r="F310" s="9">
        <v>7.33</v>
      </c>
      <c r="G310" s="26">
        <f t="shared" si="38"/>
        <v>5104.0700000000006</v>
      </c>
      <c r="H310" s="46">
        <v>-4.9400000000000004</v>
      </c>
      <c r="I310" s="333" t="s">
        <v>371</v>
      </c>
    </row>
    <row r="311" spans="1:9">
      <c r="A311" s="67">
        <v>247</v>
      </c>
      <c r="B311" s="283" t="s">
        <v>296</v>
      </c>
      <c r="C311" s="3">
        <v>12944</v>
      </c>
      <c r="D311" s="4">
        <f>7533+522+337+293+42+324+486+108+156+653+371+356+520+74+54+59+668+270</f>
        <v>12826</v>
      </c>
      <c r="E311" s="3">
        <f>C311-D311</f>
        <v>118</v>
      </c>
      <c r="F311" s="9">
        <v>7.33</v>
      </c>
      <c r="G311" s="26">
        <f>E311*F311+H311</f>
        <v>805.25000000000011</v>
      </c>
      <c r="H311" s="44">
        <f>-23.02-0.21-5.31+0.09-3.17-4.12-0.4-1.98-6.58-2.93-4.36-2.9-4.8</f>
        <v>-59.689999999999984</v>
      </c>
      <c r="I311" s="330"/>
    </row>
    <row r="312" spans="1:9" ht="15.75" customHeight="1">
      <c r="A312" s="353">
        <v>248</v>
      </c>
      <c r="B312" s="352" t="s">
        <v>206</v>
      </c>
      <c r="C312" s="351">
        <v>6033</v>
      </c>
      <c r="D312" s="354">
        <f>5843+64+77</f>
        <v>5984</v>
      </c>
      <c r="E312" s="3">
        <f>C312-D312</f>
        <v>49</v>
      </c>
      <c r="F312" s="9">
        <v>7.33</v>
      </c>
      <c r="G312" s="26">
        <f>E312*F312+H312</f>
        <v>349.06</v>
      </c>
      <c r="H312" s="44">
        <f>-5.24-4.87</f>
        <v>-10.11</v>
      </c>
      <c r="I312" s="330"/>
    </row>
    <row r="313" spans="1:9">
      <c r="A313" s="516">
        <v>249</v>
      </c>
      <c r="B313" s="568" t="s">
        <v>207</v>
      </c>
      <c r="C313" s="521">
        <v>3923</v>
      </c>
      <c r="D313" s="631">
        <f>1607+245+250+236+6+460+669+32</f>
        <v>3505</v>
      </c>
      <c r="E313" s="16">
        <v>133</v>
      </c>
      <c r="F313" s="93">
        <v>6.73</v>
      </c>
      <c r="G313" s="473">
        <f>E313*F313+E314*F314+H313</f>
        <v>2970.6800000000003</v>
      </c>
      <c r="H313" s="187">
        <f>-13.46</f>
        <v>-13.46</v>
      </c>
      <c r="I313" s="330"/>
    </row>
    <row r="314" spans="1:9">
      <c r="A314" s="517"/>
      <c r="B314" s="569"/>
      <c r="C314" s="522"/>
      <c r="D314" s="632"/>
      <c r="E314" s="16">
        <v>285</v>
      </c>
      <c r="F314" s="93">
        <v>7.33</v>
      </c>
      <c r="G314" s="497"/>
      <c r="H314" s="187"/>
      <c r="I314" s="330"/>
    </row>
    <row r="315" spans="1:9">
      <c r="A315" s="67">
        <v>250</v>
      </c>
      <c r="B315" s="261" t="s">
        <v>208</v>
      </c>
      <c r="C315" s="448">
        <v>17475</v>
      </c>
      <c r="D315" s="184">
        <f>10395+843+333+490+810+810+347+410+503+863+817+742</f>
        <v>17363</v>
      </c>
      <c r="E315" s="16">
        <f>C315-D315</f>
        <v>112</v>
      </c>
      <c r="F315" s="93">
        <v>7.33</v>
      </c>
      <c r="G315" s="245">
        <f>E315*F315+H315</f>
        <v>811.57</v>
      </c>
      <c r="H315" s="187">
        <v>-9.39</v>
      </c>
      <c r="I315" s="330"/>
    </row>
    <row r="316" spans="1:9">
      <c r="A316" s="424">
        <v>251</v>
      </c>
      <c r="B316" s="432" t="s">
        <v>209</v>
      </c>
      <c r="C316" s="448">
        <v>18128</v>
      </c>
      <c r="D316" s="431">
        <f>13186+744+338+567+973+222+189+206+255+534+565+200-15</f>
        <v>17964</v>
      </c>
      <c r="E316" s="16">
        <f>C316-D316</f>
        <v>164</v>
      </c>
      <c r="F316" s="93">
        <v>7.33</v>
      </c>
      <c r="G316" s="419">
        <f>E316*F316+H316</f>
        <v>1201.24</v>
      </c>
      <c r="H316" s="187">
        <v>-0.88</v>
      </c>
      <c r="I316" s="330"/>
    </row>
    <row r="317" spans="1:9" ht="15.75" customHeight="1">
      <c r="A317" s="485">
        <v>252</v>
      </c>
      <c r="B317" s="561" t="s">
        <v>210</v>
      </c>
      <c r="C317" s="559">
        <v>10867</v>
      </c>
      <c r="D317" s="570">
        <f>8355+20+45+112+192+475+6+271+193+588+270</f>
        <v>10527</v>
      </c>
      <c r="E317" s="16">
        <v>161</v>
      </c>
      <c r="F317" s="93">
        <v>6.73</v>
      </c>
      <c r="G317" s="473">
        <f>E317*F317+E318*F318+H317</f>
        <v>2388.87</v>
      </c>
      <c r="H317" s="187">
        <f>-6.17-0.56</f>
        <v>-6.73</v>
      </c>
      <c r="I317" s="330"/>
    </row>
    <row r="318" spans="1:9" ht="15.75" customHeight="1">
      <c r="A318" s="486"/>
      <c r="B318" s="562"/>
      <c r="C318" s="560"/>
      <c r="D318" s="571"/>
      <c r="E318" s="16">
        <v>179</v>
      </c>
      <c r="F318" s="93">
        <v>7.33</v>
      </c>
      <c r="G318" s="497"/>
      <c r="H318" s="187"/>
      <c r="I318" s="330"/>
    </row>
    <row r="319" spans="1:9">
      <c r="A319" s="67">
        <v>253</v>
      </c>
      <c r="B319" s="261" t="s">
        <v>211</v>
      </c>
      <c r="C319" s="448">
        <v>39146</v>
      </c>
      <c r="D319" s="184">
        <f>26834+640+843+299+521+1782+303+465+891+1485+445+1025+742+891+742+445+742-28</f>
        <v>39067</v>
      </c>
      <c r="E319" s="16">
        <f t="shared" ref="E319:E325" si="40">C319-D319</f>
        <v>79</v>
      </c>
      <c r="F319" s="93">
        <v>7.33</v>
      </c>
      <c r="G319" s="229">
        <f t="shared" ref="G319:G325" si="41">E319*F319+H319</f>
        <v>576.79000000000008</v>
      </c>
      <c r="H319" s="187">
        <v>-2.2799999999999998</v>
      </c>
      <c r="I319" s="333"/>
    </row>
    <row r="320" spans="1:9">
      <c r="A320" s="67">
        <v>254</v>
      </c>
      <c r="B320" s="261" t="s">
        <v>212</v>
      </c>
      <c r="C320" s="185">
        <v>20777</v>
      </c>
      <c r="D320" s="184">
        <f>14681+739+100+810+815+1+890+982+284+638+360</f>
        <v>20300</v>
      </c>
      <c r="E320" s="16">
        <f t="shared" si="40"/>
        <v>477</v>
      </c>
      <c r="F320" s="93">
        <v>7.33</v>
      </c>
      <c r="G320" s="229">
        <f t="shared" si="41"/>
        <v>3474.81</v>
      </c>
      <c r="H320" s="187">
        <v>-21.6</v>
      </c>
      <c r="I320" s="330"/>
    </row>
    <row r="321" spans="1:9" ht="18" customHeight="1">
      <c r="A321" s="485">
        <v>255</v>
      </c>
      <c r="B321" s="523" t="s">
        <v>213</v>
      </c>
      <c r="C321" s="521">
        <v>7203</v>
      </c>
      <c r="D321" s="557">
        <f>4880+58+59+266+180+197+219+111+336+349+95+39+55+3+41</f>
        <v>6888</v>
      </c>
      <c r="E321" s="16">
        <v>65</v>
      </c>
      <c r="F321" s="93">
        <v>6.73</v>
      </c>
      <c r="G321" s="473">
        <f>E321*F321+E322*F322+H321</f>
        <v>2263.2199999999998</v>
      </c>
      <c r="H321" s="187">
        <f>-6.17-0.56</f>
        <v>-6.73</v>
      </c>
      <c r="I321" s="330"/>
    </row>
    <row r="322" spans="1:9" ht="17.25" customHeight="1">
      <c r="A322" s="486"/>
      <c r="B322" s="524"/>
      <c r="C322" s="522"/>
      <c r="D322" s="558"/>
      <c r="E322" s="16">
        <v>250</v>
      </c>
      <c r="F322" s="93">
        <v>7.33</v>
      </c>
      <c r="G322" s="497"/>
      <c r="H322" s="187"/>
      <c r="I322" s="330"/>
    </row>
    <row r="323" spans="1:9">
      <c r="A323" s="67">
        <v>256</v>
      </c>
      <c r="B323" s="261" t="s">
        <v>214</v>
      </c>
      <c r="C323" s="413">
        <v>11661</v>
      </c>
      <c r="D323" s="184">
        <f>7692+337+168+252+311+567+20+473+257+222+193+438+49+301+200+272+2</f>
        <v>11754</v>
      </c>
      <c r="E323" s="16">
        <f t="shared" si="40"/>
        <v>-93</v>
      </c>
      <c r="F323" s="93">
        <v>7.33</v>
      </c>
      <c r="G323" s="26"/>
      <c r="H323" s="187">
        <v>-4.0999999999999996</v>
      </c>
      <c r="I323" s="330"/>
    </row>
    <row r="324" spans="1:9" ht="31.5">
      <c r="A324" s="136">
        <v>257</v>
      </c>
      <c r="B324" s="298" t="s">
        <v>366</v>
      </c>
      <c r="C324" s="468">
        <v>4</v>
      </c>
      <c r="D324" s="188">
        <v>11</v>
      </c>
      <c r="E324" s="189">
        <f t="shared" si="40"/>
        <v>-7</v>
      </c>
      <c r="F324" s="93">
        <v>5.93</v>
      </c>
      <c r="G324" s="26"/>
      <c r="H324" s="187"/>
      <c r="I324" s="330"/>
    </row>
    <row r="325" spans="1:9">
      <c r="A325" s="67">
        <v>258</v>
      </c>
      <c r="B325" s="261" t="s">
        <v>215</v>
      </c>
      <c r="C325" s="186">
        <v>6870</v>
      </c>
      <c r="D325" s="184">
        <f>3049+138+116+305+22+45+40+152+567+231+216+175+118+305+145+155+732+216</f>
        <v>6727</v>
      </c>
      <c r="E325" s="16">
        <f t="shared" si="40"/>
        <v>143</v>
      </c>
      <c r="F325" s="93">
        <v>7.33</v>
      </c>
      <c r="G325" s="229">
        <f t="shared" si="41"/>
        <v>1048.19</v>
      </c>
      <c r="H325" s="187"/>
      <c r="I325" s="330"/>
    </row>
    <row r="326" spans="1:9">
      <c r="A326" s="424">
        <v>259</v>
      </c>
      <c r="B326" s="432" t="s">
        <v>216</v>
      </c>
      <c r="C326" s="448">
        <v>5627</v>
      </c>
      <c r="D326" s="431">
        <f>6340-143</f>
        <v>6197</v>
      </c>
      <c r="E326" s="16">
        <f t="shared" ref="E326" si="42">C326-D326</f>
        <v>-570</v>
      </c>
      <c r="F326" s="93">
        <v>7.33</v>
      </c>
      <c r="G326" s="419"/>
      <c r="H326" s="187">
        <v>-7.07</v>
      </c>
      <c r="I326" s="330"/>
    </row>
    <row r="327" spans="1:9" ht="30.75" customHeight="1">
      <c r="A327" s="67">
        <v>260</v>
      </c>
      <c r="B327" s="299" t="s">
        <v>74</v>
      </c>
      <c r="C327" s="190"/>
      <c r="D327" s="191"/>
      <c r="E327" s="16"/>
      <c r="F327" s="93"/>
      <c r="G327" s="26"/>
      <c r="H327" s="187"/>
      <c r="I327" s="330"/>
    </row>
    <row r="328" spans="1:9" ht="15.75" customHeight="1">
      <c r="A328" s="428">
        <v>261</v>
      </c>
      <c r="B328" s="433" t="s">
        <v>217</v>
      </c>
      <c r="C328" s="441">
        <v>21662</v>
      </c>
      <c r="D328" s="431">
        <f>14357+252+400+522+310+486+324+648+648+81+74+74+445+297+520+520+520+297+148+148+148+297+297-100</f>
        <v>21713</v>
      </c>
      <c r="E328" s="3">
        <f>C328-D328</f>
        <v>-51</v>
      </c>
      <c r="F328" s="9">
        <v>7.33</v>
      </c>
      <c r="G328" s="419"/>
      <c r="H328" s="192">
        <v>-5.24</v>
      </c>
      <c r="I328" s="330"/>
    </row>
    <row r="329" spans="1:9" ht="15.75" customHeight="1">
      <c r="A329" s="403">
        <v>262</v>
      </c>
      <c r="B329" s="390" t="s">
        <v>218</v>
      </c>
      <c r="C329" s="413">
        <v>20128</v>
      </c>
      <c r="D329" s="374">
        <f>6900+202+202+202+2+192+405+324+194+297+297+297+297+297+445+445+297+445+297+742+445+445+742+445+445+891+742+742+445+742+742+445+445+409-54</f>
        <v>20850</v>
      </c>
      <c r="E329" s="3">
        <f>C329-D329</f>
        <v>-722</v>
      </c>
      <c r="F329" s="9">
        <v>7.33</v>
      </c>
      <c r="G329" s="375"/>
      <c r="H329" s="44">
        <v>-2.74</v>
      </c>
      <c r="I329" s="330"/>
    </row>
    <row r="330" spans="1:9">
      <c r="A330" s="260">
        <v>263</v>
      </c>
      <c r="B330" s="278" t="s">
        <v>219</v>
      </c>
      <c r="C330" s="265">
        <v>12105</v>
      </c>
      <c r="D330" s="263">
        <v>11902</v>
      </c>
      <c r="E330" s="3">
        <f>C330-D330</f>
        <v>203</v>
      </c>
      <c r="F330" s="9">
        <v>7.33</v>
      </c>
      <c r="G330" s="264">
        <f>E330*F330+H330</f>
        <v>1487.99</v>
      </c>
      <c r="H330" s="44"/>
      <c r="I330" s="330"/>
    </row>
    <row r="331" spans="1:9">
      <c r="A331" s="260">
        <v>264</v>
      </c>
      <c r="B331" s="261" t="s">
        <v>220</v>
      </c>
      <c r="C331" s="265">
        <v>15934</v>
      </c>
      <c r="D331" s="263">
        <v>15739</v>
      </c>
      <c r="E331" s="3">
        <f>C331-D331</f>
        <v>195</v>
      </c>
      <c r="F331" s="9">
        <v>7.33</v>
      </c>
      <c r="G331" s="264">
        <f t="shared" ref="G331:G332" si="43">E331*F331+H331</f>
        <v>1429.35</v>
      </c>
      <c r="H331" s="44"/>
      <c r="I331" s="330"/>
    </row>
    <row r="332" spans="1:9">
      <c r="A332" s="67">
        <v>265</v>
      </c>
      <c r="B332" s="278" t="s">
        <v>221</v>
      </c>
      <c r="C332" s="116">
        <v>17916</v>
      </c>
      <c r="D332" s="115">
        <v>17747</v>
      </c>
      <c r="E332" s="3">
        <f>C332-D332</f>
        <v>169</v>
      </c>
      <c r="F332" s="9">
        <v>7.33</v>
      </c>
      <c r="G332" s="264">
        <f t="shared" si="43"/>
        <v>1238.77</v>
      </c>
      <c r="H332" s="44"/>
      <c r="I332" s="330"/>
    </row>
    <row r="333" spans="1:9">
      <c r="A333" s="67">
        <v>266</v>
      </c>
      <c r="B333" s="300" t="s">
        <v>222</v>
      </c>
      <c r="C333" s="518" t="s">
        <v>293</v>
      </c>
      <c r="D333" s="519"/>
      <c r="E333" s="519"/>
      <c r="F333" s="519"/>
      <c r="G333" s="520"/>
      <c r="H333" s="44"/>
      <c r="I333" s="330"/>
    </row>
    <row r="334" spans="1:9">
      <c r="A334" s="67">
        <v>267</v>
      </c>
      <c r="B334" s="278" t="s">
        <v>223</v>
      </c>
      <c r="C334" s="448">
        <v>43305</v>
      </c>
      <c r="D334" s="42">
        <f>38099+162+162+324+190+568+297+742+297+297+445+297+742+371-7</f>
        <v>42986</v>
      </c>
      <c r="E334" s="3">
        <f>C334-D334</f>
        <v>319</v>
      </c>
      <c r="F334" s="9">
        <v>7.33</v>
      </c>
      <c r="G334" s="26">
        <f>E334*F334+H334</f>
        <v>2332.7599999999998</v>
      </c>
      <c r="H334" s="44">
        <v>-5.51</v>
      </c>
      <c r="I334" s="330"/>
    </row>
    <row r="335" spans="1:9" ht="15.75" customHeight="1">
      <c r="A335" s="370">
        <v>268</v>
      </c>
      <c r="B335" s="369" t="s">
        <v>224</v>
      </c>
      <c r="C335" s="371">
        <v>15543</v>
      </c>
      <c r="D335" s="263">
        <v>15434</v>
      </c>
      <c r="E335" s="3">
        <f>C335-D335</f>
        <v>109</v>
      </c>
      <c r="F335" s="9">
        <v>7.33</v>
      </c>
      <c r="G335" s="26">
        <f>E335*F335+H335</f>
        <v>793.52</v>
      </c>
      <c r="H335" s="44">
        <v>-5.45</v>
      </c>
      <c r="I335" s="330"/>
    </row>
    <row r="336" spans="1:9">
      <c r="A336" s="132">
        <v>269</v>
      </c>
      <c r="B336" s="285" t="s">
        <v>322</v>
      </c>
      <c r="C336" s="453">
        <v>38</v>
      </c>
      <c r="D336" s="5">
        <f>10-1</f>
        <v>9</v>
      </c>
      <c r="E336" s="3">
        <f>C336-D336</f>
        <v>29</v>
      </c>
      <c r="F336" s="9">
        <v>7.33</v>
      </c>
      <c r="G336" s="26">
        <f>E336*F336+H336</f>
        <v>205.57999999999998</v>
      </c>
      <c r="H336" s="44">
        <v>-6.99</v>
      </c>
      <c r="I336" s="330" t="s">
        <v>375</v>
      </c>
    </row>
    <row r="337" spans="1:9" ht="33.75" customHeight="1">
      <c r="A337" s="214">
        <v>270</v>
      </c>
      <c r="B337" s="292" t="s">
        <v>225</v>
      </c>
      <c r="C337" s="215">
        <v>1703</v>
      </c>
      <c r="D337" s="215">
        <v>1385</v>
      </c>
      <c r="E337" s="216">
        <f>C337-D337</f>
        <v>318</v>
      </c>
      <c r="F337" s="217">
        <v>5.93</v>
      </c>
      <c r="G337" s="26">
        <f>E337*F337+H337</f>
        <v>1885.74</v>
      </c>
      <c r="H337" s="50"/>
      <c r="I337" s="330" t="s">
        <v>376</v>
      </c>
    </row>
    <row r="338" spans="1:9">
      <c r="A338" s="480">
        <v>271</v>
      </c>
      <c r="B338" s="498" t="s">
        <v>226</v>
      </c>
      <c r="C338" s="491">
        <v>21602</v>
      </c>
      <c r="D338" s="493">
        <v>21357</v>
      </c>
      <c r="E338" s="3">
        <v>75</v>
      </c>
      <c r="F338" s="9">
        <v>6.73</v>
      </c>
      <c r="G338" s="473">
        <f>E338*F338+E339*F339+H338</f>
        <v>1744.9099999999999</v>
      </c>
      <c r="H338" s="44">
        <v>-5.94</v>
      </c>
      <c r="I338" s="330"/>
    </row>
    <row r="339" spans="1:9">
      <c r="A339" s="480"/>
      <c r="B339" s="499"/>
      <c r="C339" s="492"/>
      <c r="D339" s="494"/>
      <c r="E339" s="3">
        <v>170</v>
      </c>
      <c r="F339" s="9">
        <v>7.33</v>
      </c>
      <c r="G339" s="497"/>
      <c r="H339" s="44"/>
      <c r="I339" s="330"/>
    </row>
    <row r="340" spans="1:9" ht="15" customHeight="1">
      <c r="A340" s="480">
        <v>272</v>
      </c>
      <c r="B340" s="498" t="s">
        <v>317</v>
      </c>
      <c r="C340" s="491">
        <v>16744</v>
      </c>
      <c r="D340" s="493">
        <v>16453</v>
      </c>
      <c r="E340" s="3">
        <v>155</v>
      </c>
      <c r="F340" s="9">
        <v>6.73</v>
      </c>
      <c r="G340" s="473">
        <f>E340*F340+E341*F341+H340</f>
        <v>2040.0300000000002</v>
      </c>
      <c r="H340" s="44"/>
      <c r="I340" s="496"/>
    </row>
    <row r="341" spans="1:9" ht="15.75" customHeight="1">
      <c r="A341" s="480"/>
      <c r="B341" s="499"/>
      <c r="C341" s="492"/>
      <c r="D341" s="494"/>
      <c r="E341" s="3">
        <v>136</v>
      </c>
      <c r="F341" s="9">
        <v>7.33</v>
      </c>
      <c r="G341" s="497"/>
      <c r="H341" s="44"/>
      <c r="I341" s="496"/>
    </row>
    <row r="342" spans="1:9" ht="15.75" customHeight="1">
      <c r="A342" s="67">
        <v>273</v>
      </c>
      <c r="B342" s="278" t="s">
        <v>227</v>
      </c>
      <c r="C342" s="441">
        <v>8735</v>
      </c>
      <c r="D342" s="98">
        <f>8224+14+541+388-36</f>
        <v>9131</v>
      </c>
      <c r="E342" s="3">
        <f t="shared" ref="E342" si="44">C342-D342</f>
        <v>-396</v>
      </c>
      <c r="F342" s="9">
        <v>7.33</v>
      </c>
      <c r="G342" s="26"/>
      <c r="H342" s="44">
        <v>-6.61</v>
      </c>
      <c r="I342" s="330"/>
    </row>
    <row r="343" spans="1:9" ht="33" customHeight="1">
      <c r="A343" s="67">
        <v>274</v>
      </c>
      <c r="B343" s="286" t="s">
        <v>74</v>
      </c>
      <c r="C343" s="10"/>
      <c r="D343" s="11"/>
      <c r="E343" s="3"/>
      <c r="F343" s="9"/>
      <c r="G343" s="26"/>
      <c r="H343" s="44"/>
      <c r="I343" s="330"/>
    </row>
    <row r="344" spans="1:9" ht="34.5" customHeight="1">
      <c r="A344" s="224">
        <v>275</v>
      </c>
      <c r="B344" s="301" t="s">
        <v>228</v>
      </c>
      <c r="C344" s="225">
        <v>4871</v>
      </c>
      <c r="D344" s="226">
        <v>4794</v>
      </c>
      <c r="E344" s="216">
        <f>C344-D344</f>
        <v>77</v>
      </c>
      <c r="F344" s="217">
        <v>5.93</v>
      </c>
      <c r="G344" s="26">
        <f>E344*F344+H344</f>
        <v>456.60999999999996</v>
      </c>
      <c r="H344" s="50"/>
      <c r="I344" s="330" t="s">
        <v>376</v>
      </c>
    </row>
    <row r="345" spans="1:9" ht="36" customHeight="1">
      <c r="A345" s="67">
        <v>276</v>
      </c>
      <c r="B345" s="278" t="s">
        <v>229</v>
      </c>
      <c r="C345" s="97">
        <v>394</v>
      </c>
      <c r="D345" s="95">
        <v>255</v>
      </c>
      <c r="E345" s="3">
        <f>C345-D345</f>
        <v>139</v>
      </c>
      <c r="F345" s="9">
        <v>7.33</v>
      </c>
      <c r="G345" s="26">
        <f>E345*F345+H345</f>
        <v>1018.87</v>
      </c>
      <c r="H345" s="51"/>
      <c r="I345" s="330" t="s">
        <v>354</v>
      </c>
    </row>
    <row r="346" spans="1:9" ht="18.75" customHeight="1">
      <c r="A346" s="137">
        <v>277</v>
      </c>
      <c r="B346" s="302" t="s">
        <v>230</v>
      </c>
      <c r="C346" s="3">
        <v>21746</v>
      </c>
      <c r="D346" s="4">
        <f>16430+760+200+475+689+777+105+306+308+267+335+422+61+99+274</f>
        <v>21508</v>
      </c>
      <c r="E346" s="3">
        <f>C346-D346</f>
        <v>238</v>
      </c>
      <c r="F346" s="9">
        <v>7.33</v>
      </c>
      <c r="G346" s="26">
        <f>E346*F346+H346</f>
        <v>1744.54</v>
      </c>
      <c r="H346" s="44"/>
      <c r="I346" s="330"/>
    </row>
    <row r="347" spans="1:9">
      <c r="A347" s="424">
        <v>278</v>
      </c>
      <c r="B347" s="423" t="s">
        <v>231</v>
      </c>
      <c r="C347" s="448">
        <v>11333</v>
      </c>
      <c r="D347" s="420">
        <f>8989+84+15+82+162+243+243+148+89+297+148+89+14+230+170+148-12</f>
        <v>11139</v>
      </c>
      <c r="E347" s="3">
        <f>C347-D347</f>
        <v>194</v>
      </c>
      <c r="F347" s="9">
        <v>7.33</v>
      </c>
      <c r="G347" s="26">
        <f>E347*F347+H347</f>
        <v>1416.92</v>
      </c>
      <c r="H347" s="44">
        <v>-5.0999999999999996</v>
      </c>
      <c r="I347" s="330"/>
    </row>
    <row r="348" spans="1:9" ht="16.5" customHeight="1">
      <c r="A348" s="516">
        <v>279</v>
      </c>
      <c r="B348" s="487" t="s">
        <v>324</v>
      </c>
      <c r="C348" s="491">
        <v>18472</v>
      </c>
      <c r="D348" s="493">
        <f>13617+211+821+902+787+594+1319</f>
        <v>18251</v>
      </c>
      <c r="E348" s="3">
        <v>94</v>
      </c>
      <c r="F348" s="9">
        <v>6.73</v>
      </c>
      <c r="G348" s="473">
        <f t="shared" ref="G348" si="45">E348*F348+E349*F349+H348</f>
        <v>1550.07</v>
      </c>
      <c r="H348" s="44">
        <f>-6.17-0.56-2.38-4.35</f>
        <v>-13.459999999999999</v>
      </c>
      <c r="I348" s="495"/>
    </row>
    <row r="349" spans="1:9" ht="18" customHeight="1">
      <c r="A349" s="517"/>
      <c r="B349" s="488"/>
      <c r="C349" s="492"/>
      <c r="D349" s="494"/>
      <c r="E349" s="3">
        <v>127</v>
      </c>
      <c r="F349" s="9">
        <v>7.33</v>
      </c>
      <c r="G349" s="497"/>
      <c r="H349" s="51"/>
      <c r="I349" s="495"/>
    </row>
    <row r="350" spans="1:9" ht="14.25" customHeight="1">
      <c r="A350" s="416">
        <v>280</v>
      </c>
      <c r="B350" s="434" t="s">
        <v>232</v>
      </c>
      <c r="C350" s="426">
        <v>2478</v>
      </c>
      <c r="D350" s="420">
        <f>1863+219+2+113+57+185+38</f>
        <v>2477</v>
      </c>
      <c r="E350" s="3">
        <f>C350-D350</f>
        <v>1</v>
      </c>
      <c r="F350" s="9">
        <v>7.33</v>
      </c>
      <c r="G350" s="419"/>
      <c r="H350" s="44">
        <f>-13.14</f>
        <v>-13.14</v>
      </c>
      <c r="I350" s="330"/>
    </row>
    <row r="351" spans="1:9">
      <c r="A351" s="485">
        <v>281</v>
      </c>
      <c r="B351" s="487" t="s">
        <v>233</v>
      </c>
      <c r="C351" s="491">
        <v>5534</v>
      </c>
      <c r="D351" s="510">
        <f>4642+230+7+50+178+88+69+146</f>
        <v>5410</v>
      </c>
      <c r="E351" s="3">
        <v>68</v>
      </c>
      <c r="F351" s="9">
        <v>6.73</v>
      </c>
      <c r="G351" s="473">
        <f t="shared" ref="G351" si="46">E351*F351+E352*F352+H351</f>
        <v>861.3900000000001</v>
      </c>
      <c r="H351" s="44">
        <f>-5.51-1.22</f>
        <v>-6.7299999999999995</v>
      </c>
      <c r="I351" s="330"/>
    </row>
    <row r="352" spans="1:9">
      <c r="A352" s="486"/>
      <c r="B352" s="488"/>
      <c r="C352" s="492"/>
      <c r="D352" s="511"/>
      <c r="E352" s="3">
        <v>56</v>
      </c>
      <c r="F352" s="9">
        <v>7.33</v>
      </c>
      <c r="G352" s="497"/>
      <c r="H352" s="51"/>
      <c r="I352" s="330"/>
    </row>
    <row r="353" spans="1:9">
      <c r="A353" s="485">
        <v>282</v>
      </c>
      <c r="B353" s="506" t="s">
        <v>234</v>
      </c>
      <c r="C353" s="504">
        <v>2376</v>
      </c>
      <c r="D353" s="512">
        <f>415+6+399+356+104+257+376+15+5+3</f>
        <v>1936</v>
      </c>
      <c r="E353" s="3">
        <v>116</v>
      </c>
      <c r="F353" s="9">
        <v>6.73</v>
      </c>
      <c r="G353" s="473">
        <f t="shared" ref="G353" si="47">E353*F353+E354*F354+H353</f>
        <v>3148.8700000000003</v>
      </c>
      <c r="H353" s="44">
        <f>-4.1-2.63</f>
        <v>-6.7299999999999995</v>
      </c>
      <c r="I353" s="330" t="s">
        <v>235</v>
      </c>
    </row>
    <row r="354" spans="1:9" ht="31.5">
      <c r="A354" s="486"/>
      <c r="B354" s="507"/>
      <c r="C354" s="505"/>
      <c r="D354" s="513"/>
      <c r="E354" s="3">
        <v>324</v>
      </c>
      <c r="F354" s="9">
        <v>7.33</v>
      </c>
      <c r="G354" s="497"/>
      <c r="H354" s="51"/>
      <c r="I354" s="330" t="s">
        <v>7</v>
      </c>
    </row>
    <row r="355" spans="1:9">
      <c r="A355" s="485">
        <v>283</v>
      </c>
      <c r="B355" s="508" t="s">
        <v>236</v>
      </c>
      <c r="C355" s="502">
        <v>206</v>
      </c>
      <c r="D355" s="514">
        <v>200</v>
      </c>
      <c r="E355" s="3">
        <v>6</v>
      </c>
      <c r="F355" s="9">
        <v>5.93</v>
      </c>
      <c r="G355" s="473">
        <v>35.82</v>
      </c>
      <c r="H355" s="44"/>
      <c r="I355" s="330"/>
    </row>
    <row r="356" spans="1:9">
      <c r="A356" s="486"/>
      <c r="B356" s="509"/>
      <c r="C356" s="503"/>
      <c r="D356" s="515"/>
      <c r="E356" s="3"/>
      <c r="F356" s="9">
        <v>7.33</v>
      </c>
      <c r="G356" s="497"/>
      <c r="H356" s="51"/>
      <c r="I356" s="330"/>
    </row>
    <row r="357" spans="1:9" ht="31.5">
      <c r="A357" s="133">
        <v>284</v>
      </c>
      <c r="B357" s="277" t="s">
        <v>237</v>
      </c>
      <c r="C357" s="122">
        <v>2105</v>
      </c>
      <c r="D357" s="124">
        <f>1107+188+143+47+150+362</f>
        <v>1997</v>
      </c>
      <c r="E357" s="3">
        <f t="shared" ref="E357" si="48">C357-D357</f>
        <v>108</v>
      </c>
      <c r="F357" s="9">
        <v>7.33</v>
      </c>
      <c r="G357" s="26">
        <f t="shared" ref="G357" si="49">E357*F357+H357</f>
        <v>784.31</v>
      </c>
      <c r="H357" s="44">
        <v>-7.33</v>
      </c>
      <c r="I357" s="330"/>
    </row>
    <row r="358" spans="1:9">
      <c r="A358" s="382">
        <v>285</v>
      </c>
      <c r="B358" s="378" t="s">
        <v>238</v>
      </c>
      <c r="C358" s="398">
        <v>17137</v>
      </c>
      <c r="D358" s="374">
        <f>16934+1000+818-168</f>
        <v>18584</v>
      </c>
      <c r="E358" s="3">
        <f t="shared" ref="E358" si="50">C358-D358</f>
        <v>-1447</v>
      </c>
      <c r="F358" s="9">
        <v>7.33</v>
      </c>
      <c r="G358" s="26"/>
      <c r="H358" s="44">
        <v>-1.1200000000000001</v>
      </c>
      <c r="I358" s="330"/>
    </row>
    <row r="359" spans="1:9" ht="18" customHeight="1">
      <c r="A359" s="485">
        <v>286</v>
      </c>
      <c r="B359" s="487" t="s">
        <v>239</v>
      </c>
      <c r="C359" s="491">
        <v>9047</v>
      </c>
      <c r="D359" s="493">
        <f>6344+433+197+196+457+101+891</f>
        <v>8619</v>
      </c>
      <c r="E359" s="3">
        <v>175</v>
      </c>
      <c r="F359" s="9">
        <v>6.73</v>
      </c>
      <c r="G359" s="473">
        <f>E359*F359+E360*F360+H359</f>
        <v>3028.0899999999997</v>
      </c>
      <c r="H359" s="44">
        <f>-0.58-3.57</f>
        <v>-4.1499999999999995</v>
      </c>
      <c r="I359" s="495" t="s">
        <v>7</v>
      </c>
    </row>
    <row r="360" spans="1:9" ht="19.5" customHeight="1">
      <c r="A360" s="486"/>
      <c r="B360" s="488"/>
      <c r="C360" s="492"/>
      <c r="D360" s="494"/>
      <c r="E360" s="3">
        <v>253</v>
      </c>
      <c r="F360" s="9">
        <v>7.33</v>
      </c>
      <c r="G360" s="497"/>
      <c r="H360" s="51"/>
      <c r="I360" s="495"/>
    </row>
    <row r="361" spans="1:9" ht="15.75" customHeight="1">
      <c r="A361" s="260">
        <v>287</v>
      </c>
      <c r="B361" s="278" t="s">
        <v>240</v>
      </c>
      <c r="C361" s="265">
        <v>17578</v>
      </c>
      <c r="D361" s="267">
        <f>8229+843+246+559+1083+810+742+1485+414+644+227+278+313+226+263+312+316+258-20</f>
        <v>17228</v>
      </c>
      <c r="E361" s="3">
        <f t="shared" ref="E361:E366" si="51">C361-D361</f>
        <v>350</v>
      </c>
      <c r="F361" s="9">
        <v>7.33</v>
      </c>
      <c r="G361" s="264">
        <f>E361*F361+H361</f>
        <v>2565.5</v>
      </c>
      <c r="H361" s="44"/>
      <c r="I361" s="227"/>
    </row>
    <row r="362" spans="1:9">
      <c r="A362" s="424">
        <v>288</v>
      </c>
      <c r="B362" s="423" t="s">
        <v>241</v>
      </c>
      <c r="C362" s="448">
        <v>16320</v>
      </c>
      <c r="D362" s="420">
        <f>13876+162+162+162+162+486+148+445+104+222+153+153+74-9</f>
        <v>16300</v>
      </c>
      <c r="E362" s="3">
        <f t="shared" si="51"/>
        <v>20</v>
      </c>
      <c r="F362" s="9">
        <v>7.33</v>
      </c>
      <c r="G362" s="419">
        <f>E362*F362+H362</f>
        <v>145.97</v>
      </c>
      <c r="H362" s="44">
        <v>-0.63</v>
      </c>
      <c r="I362" s="330"/>
    </row>
    <row r="363" spans="1:9">
      <c r="A363" s="260">
        <v>289</v>
      </c>
      <c r="B363" s="278" t="s">
        <v>242</v>
      </c>
      <c r="C363" s="265">
        <v>13781</v>
      </c>
      <c r="D363" s="263">
        <f>9900+503+410+200+150+540+107+75+191+433+200+100+101+169+49+423+116-9</f>
        <v>13658</v>
      </c>
      <c r="E363" s="3">
        <f t="shared" si="51"/>
        <v>123</v>
      </c>
      <c r="F363" s="9">
        <v>7.33</v>
      </c>
      <c r="G363" s="264">
        <f>E363*F363+H363</f>
        <v>901.59</v>
      </c>
      <c r="H363" s="44"/>
      <c r="I363" s="330"/>
    </row>
    <row r="364" spans="1:9" ht="37.5" customHeight="1">
      <c r="A364" s="445">
        <v>290</v>
      </c>
      <c r="B364" s="444" t="s">
        <v>243</v>
      </c>
      <c r="C364" s="443">
        <v>243</v>
      </c>
      <c r="D364" s="443">
        <f>778-85</f>
        <v>693</v>
      </c>
      <c r="E364" s="216">
        <f t="shared" si="51"/>
        <v>-450</v>
      </c>
      <c r="F364" s="217">
        <v>7.33</v>
      </c>
      <c r="G364" s="469"/>
      <c r="H364" s="187">
        <v>-4.51</v>
      </c>
      <c r="I364" s="427" t="s">
        <v>373</v>
      </c>
    </row>
    <row r="365" spans="1:9">
      <c r="A365" s="67">
        <v>291</v>
      </c>
      <c r="B365" s="278" t="s">
        <v>244</v>
      </c>
      <c r="C365" s="65">
        <v>9658</v>
      </c>
      <c r="D365" s="63">
        <f>4516+480+681+167+428+528+639+3+221+387+186+203+236+124+150+320+163</f>
        <v>9432</v>
      </c>
      <c r="E365" s="3">
        <f t="shared" si="51"/>
        <v>226</v>
      </c>
      <c r="F365" s="9">
        <v>7.33</v>
      </c>
      <c r="G365" s="229">
        <f>E365*F365+H365</f>
        <v>1656.1699999999998</v>
      </c>
      <c r="H365" s="44">
        <v>-0.41</v>
      </c>
      <c r="I365" s="330"/>
    </row>
    <row r="366" spans="1:9" ht="21.75" customHeight="1">
      <c r="A366" s="563">
        <v>292</v>
      </c>
      <c r="B366" s="561" t="s">
        <v>245</v>
      </c>
      <c r="C366" s="559">
        <v>4111</v>
      </c>
      <c r="D366" s="557">
        <f>522+1308+1104</f>
        <v>2934</v>
      </c>
      <c r="E366" s="16">
        <f t="shared" si="51"/>
        <v>1177</v>
      </c>
      <c r="F366" s="9">
        <v>6.73</v>
      </c>
      <c r="G366" s="473">
        <f>E366*F366+E367*F367+H366</f>
        <v>16307.330000000002</v>
      </c>
      <c r="H366" s="187">
        <f>-0.16-6.57</f>
        <v>-6.73</v>
      </c>
      <c r="I366" s="330" t="s">
        <v>379</v>
      </c>
    </row>
    <row r="367" spans="1:9" ht="27.75" customHeight="1">
      <c r="A367" s="564"/>
      <c r="B367" s="562"/>
      <c r="C367" s="560"/>
      <c r="D367" s="558"/>
      <c r="E367" s="16">
        <v>1145</v>
      </c>
      <c r="F367" s="9">
        <v>7.33</v>
      </c>
      <c r="G367" s="497"/>
      <c r="H367" s="187"/>
      <c r="I367" s="330" t="s">
        <v>7</v>
      </c>
    </row>
    <row r="368" spans="1:9">
      <c r="A368" s="233">
        <v>293</v>
      </c>
      <c r="B368" s="287" t="s">
        <v>246</v>
      </c>
      <c r="C368" s="234">
        <v>5051</v>
      </c>
      <c r="D368" s="232">
        <f>615+497+42+230+271+445+67+469+572+249+237+29+297+498+226</f>
        <v>4744</v>
      </c>
      <c r="E368" s="3">
        <f>C368-D368</f>
        <v>307</v>
      </c>
      <c r="F368" s="9">
        <v>7.33</v>
      </c>
      <c r="G368" s="229">
        <f>E368*F368+H368</f>
        <v>2206.33</v>
      </c>
      <c r="H368" s="44">
        <v>-43.98</v>
      </c>
      <c r="I368" s="330" t="s">
        <v>235</v>
      </c>
    </row>
    <row r="369" spans="1:9">
      <c r="A369" s="479">
        <v>294</v>
      </c>
      <c r="B369" s="531" t="s">
        <v>247</v>
      </c>
      <c r="C369" s="545" t="s">
        <v>293</v>
      </c>
      <c r="D369" s="546"/>
      <c r="E369" s="546"/>
      <c r="F369" s="546"/>
      <c r="G369" s="547"/>
      <c r="H369" s="45"/>
      <c r="I369" s="330"/>
    </row>
    <row r="370" spans="1:9">
      <c r="A370" s="479"/>
      <c r="B370" s="532"/>
      <c r="C370" s="548"/>
      <c r="D370" s="549"/>
      <c r="E370" s="549"/>
      <c r="F370" s="549"/>
      <c r="G370" s="550"/>
      <c r="H370" s="45"/>
      <c r="I370" s="330"/>
    </row>
    <row r="371" spans="1:9" ht="34.5" customHeight="1">
      <c r="A371" s="67">
        <v>295</v>
      </c>
      <c r="B371" s="278" t="s">
        <v>248</v>
      </c>
      <c r="C371" s="551" t="s">
        <v>293</v>
      </c>
      <c r="D371" s="552"/>
      <c r="E371" s="552"/>
      <c r="F371" s="552"/>
      <c r="G371" s="553"/>
      <c r="H371" s="44"/>
      <c r="I371" s="330"/>
    </row>
    <row r="372" spans="1:9" ht="18.75" customHeight="1">
      <c r="A372" s="377">
        <v>296</v>
      </c>
      <c r="B372" s="407" t="s">
        <v>249</v>
      </c>
      <c r="C372" s="373">
        <v>19248</v>
      </c>
      <c r="D372" s="415">
        <f>14463+521+500+294+1109+554+75+145+240+316+654+163</f>
        <v>19034</v>
      </c>
      <c r="E372" s="3">
        <f>C372-D372</f>
        <v>214</v>
      </c>
      <c r="F372" s="9">
        <v>7.33</v>
      </c>
      <c r="G372" s="26">
        <f t="shared" ref="G372" si="52">E372*F372+H372</f>
        <v>1568.6200000000001</v>
      </c>
      <c r="H372" s="44"/>
      <c r="I372" s="227"/>
    </row>
    <row r="373" spans="1:9">
      <c r="A373" s="67">
        <v>297</v>
      </c>
      <c r="B373" s="283" t="s">
        <v>250</v>
      </c>
      <c r="C373" s="3">
        <v>13178</v>
      </c>
      <c r="D373" s="4">
        <f>9900+200+300+140+57+150+198+150+45+416+250+239+222+63+86+252+232</f>
        <v>12900</v>
      </c>
      <c r="E373" s="3">
        <f>C373-D373</f>
        <v>278</v>
      </c>
      <c r="F373" s="9">
        <v>7.33</v>
      </c>
      <c r="G373" s="26">
        <f t="shared" ref="G373:G374" si="53">E373*F373+H373</f>
        <v>2023.08</v>
      </c>
      <c r="H373" s="44">
        <v>-14.66</v>
      </c>
      <c r="I373" s="330"/>
    </row>
    <row r="374" spans="1:9">
      <c r="A374" s="67">
        <v>298</v>
      </c>
      <c r="B374" s="278" t="s">
        <v>251</v>
      </c>
      <c r="C374" s="448">
        <v>5295</v>
      </c>
      <c r="D374" s="104">
        <f>4293+184+574+119+119-6</f>
        <v>5283</v>
      </c>
      <c r="E374" s="3">
        <f>C374-D374</f>
        <v>12</v>
      </c>
      <c r="F374" s="9">
        <v>7.33</v>
      </c>
      <c r="G374" s="26">
        <f t="shared" si="53"/>
        <v>84.59</v>
      </c>
      <c r="H374" s="44">
        <v>-3.37</v>
      </c>
      <c r="I374" s="330"/>
    </row>
    <row r="375" spans="1:9">
      <c r="A375" s="424">
        <v>299</v>
      </c>
      <c r="B375" s="447" t="s">
        <v>252</v>
      </c>
      <c r="C375" s="470">
        <v>6544</v>
      </c>
      <c r="D375" s="435">
        <f>4917+168+145+162+162+3+144+147+445+341-26</f>
        <v>6608</v>
      </c>
      <c r="E375" s="3">
        <f>C375-D375</f>
        <v>-64</v>
      </c>
      <c r="F375" s="9">
        <v>7.33</v>
      </c>
      <c r="G375" s="26"/>
      <c r="H375" s="44">
        <v>-5.89</v>
      </c>
      <c r="I375" s="330"/>
    </row>
    <row r="376" spans="1:9" ht="15.75" customHeight="1">
      <c r="A376" s="424">
        <v>300</v>
      </c>
      <c r="B376" s="447" t="s">
        <v>319</v>
      </c>
      <c r="C376" s="470">
        <v>5069</v>
      </c>
      <c r="D376" s="420">
        <f>3986+162+222+148+222+297-8</f>
        <v>5029</v>
      </c>
      <c r="E376" s="3">
        <f>C376-D376</f>
        <v>40</v>
      </c>
      <c r="F376" s="9">
        <v>7.33</v>
      </c>
      <c r="G376" s="26">
        <f t="shared" ref="G375:G376" si="54">E376*F376+H376</f>
        <v>287.39</v>
      </c>
      <c r="H376" s="44">
        <v>-5.81</v>
      </c>
      <c r="I376" s="330"/>
    </row>
    <row r="377" spans="1:9">
      <c r="A377" s="260">
        <v>301</v>
      </c>
      <c r="B377" s="303" t="s">
        <v>355</v>
      </c>
      <c r="C377" s="262">
        <v>7877</v>
      </c>
      <c r="D377" s="263">
        <f>6047+324+75+258+122+163+445+125+126-23</f>
        <v>7662</v>
      </c>
      <c r="E377" s="3">
        <f t="shared" ref="E377:E383" si="55">C377-D377</f>
        <v>215</v>
      </c>
      <c r="F377" s="9">
        <v>7.33</v>
      </c>
      <c r="G377" s="264">
        <f t="shared" ref="G377:G383" si="56">E377*F377+H377</f>
        <v>1575.95</v>
      </c>
      <c r="H377" s="44"/>
      <c r="I377" s="330"/>
    </row>
    <row r="378" spans="1:9" ht="31.5">
      <c r="A378" s="416">
        <v>302</v>
      </c>
      <c r="B378" s="418" t="s">
        <v>253</v>
      </c>
      <c r="C378" s="421">
        <v>3032</v>
      </c>
      <c r="D378" s="267">
        <v>2920</v>
      </c>
      <c r="E378" s="3">
        <f t="shared" si="55"/>
        <v>112</v>
      </c>
      <c r="F378" s="9">
        <v>7.33</v>
      </c>
      <c r="G378" s="264">
        <f t="shared" si="56"/>
        <v>820.96</v>
      </c>
      <c r="H378" s="44"/>
      <c r="I378" s="330" t="s">
        <v>381</v>
      </c>
    </row>
    <row r="379" spans="1:9">
      <c r="A379" s="67">
        <v>303</v>
      </c>
      <c r="B379" s="283" t="s">
        <v>254</v>
      </c>
      <c r="C379" s="3">
        <v>21166</v>
      </c>
      <c r="D379" s="4">
        <f>16329+196+162+291+365+915+301+221+192+432+456+262+145+244+142</f>
        <v>20653</v>
      </c>
      <c r="E379" s="3">
        <f t="shared" si="55"/>
        <v>513</v>
      </c>
      <c r="F379" s="9">
        <v>7.33</v>
      </c>
      <c r="G379" s="26">
        <f t="shared" si="56"/>
        <v>3752.96</v>
      </c>
      <c r="H379" s="44">
        <v>-7.33</v>
      </c>
      <c r="I379" s="330"/>
    </row>
    <row r="380" spans="1:9">
      <c r="A380" s="67">
        <v>304</v>
      </c>
      <c r="B380" s="278" t="s">
        <v>255</v>
      </c>
      <c r="C380" s="108">
        <v>36055</v>
      </c>
      <c r="D380" s="110">
        <v>36049</v>
      </c>
      <c r="E380" s="3">
        <f t="shared" si="55"/>
        <v>6</v>
      </c>
      <c r="F380" s="9">
        <v>7.33</v>
      </c>
      <c r="G380" s="26">
        <f t="shared" si="56"/>
        <v>43.980000000000004</v>
      </c>
      <c r="H380" s="44"/>
      <c r="I380" s="330" t="s">
        <v>383</v>
      </c>
    </row>
    <row r="381" spans="1:9">
      <c r="A381" s="357">
        <v>305</v>
      </c>
      <c r="B381" s="358" t="s">
        <v>256</v>
      </c>
      <c r="C381" s="351">
        <v>16624</v>
      </c>
      <c r="D381" s="354">
        <f>13454+500+251+324+244+2+210+204+289+472+108+1+183+184</f>
        <v>16426</v>
      </c>
      <c r="E381" s="351">
        <f t="shared" si="55"/>
        <v>198</v>
      </c>
      <c r="F381" s="9">
        <v>7.33</v>
      </c>
      <c r="G381" s="349">
        <f t="shared" si="56"/>
        <v>1444.01</v>
      </c>
      <c r="H381" s="44">
        <v>-7.33</v>
      </c>
      <c r="I381" s="330"/>
    </row>
    <row r="382" spans="1:9" ht="15.75" customHeight="1">
      <c r="A382" s="260">
        <v>306</v>
      </c>
      <c r="B382" s="278" t="s">
        <v>257</v>
      </c>
      <c r="C382" s="262">
        <v>27515</v>
      </c>
      <c r="D382" s="263">
        <f>21128+1000+350+520+571+563+431+575+520+133+135+757+416-3</f>
        <v>27096</v>
      </c>
      <c r="E382" s="265">
        <f t="shared" si="55"/>
        <v>419</v>
      </c>
      <c r="F382" s="9">
        <v>7.33</v>
      </c>
      <c r="G382" s="264">
        <f t="shared" si="56"/>
        <v>3071.27</v>
      </c>
      <c r="H382" s="44"/>
      <c r="I382" s="227"/>
    </row>
    <row r="383" spans="1:9" ht="31.5">
      <c r="A383" s="67">
        <v>307</v>
      </c>
      <c r="B383" s="278" t="s">
        <v>258</v>
      </c>
      <c r="C383" s="68">
        <v>5321</v>
      </c>
      <c r="D383" s="69">
        <f>3113+505+550+180+437+138+138+44</f>
        <v>5105</v>
      </c>
      <c r="E383" s="247">
        <f t="shared" si="55"/>
        <v>216</v>
      </c>
      <c r="F383" s="17">
        <v>7.33</v>
      </c>
      <c r="G383" s="229">
        <f t="shared" si="56"/>
        <v>1590.61</v>
      </c>
      <c r="H383" s="251">
        <v>7.33</v>
      </c>
      <c r="I383" s="330"/>
    </row>
    <row r="384" spans="1:9" ht="45" customHeight="1">
      <c r="A384" s="141">
        <v>308</v>
      </c>
      <c r="B384" s="295" t="s">
        <v>294</v>
      </c>
      <c r="C384" s="543" t="s">
        <v>293</v>
      </c>
      <c r="D384" s="543"/>
      <c r="E384" s="543"/>
      <c r="F384" s="543"/>
      <c r="G384" s="543"/>
      <c r="H384" s="543"/>
      <c r="I384" s="330"/>
    </row>
    <row r="385" spans="1:12">
      <c r="A385" s="67">
        <v>309</v>
      </c>
      <c r="B385" s="278" t="s">
        <v>259</v>
      </c>
      <c r="C385" s="253">
        <v>4262</v>
      </c>
      <c r="D385" s="250">
        <f>2161+244+38+773+179+578+185+49</f>
        <v>4207</v>
      </c>
      <c r="E385" s="248">
        <f>C385-D385</f>
        <v>55</v>
      </c>
      <c r="F385" s="18">
        <v>7.33</v>
      </c>
      <c r="G385" s="249">
        <f t="shared" ref="G385:G388" si="57">E385*F385+H385</f>
        <v>388.48999999999995</v>
      </c>
      <c r="H385" s="252">
        <v>-14.66</v>
      </c>
      <c r="I385" s="330"/>
    </row>
    <row r="386" spans="1:12">
      <c r="A386" s="485">
        <v>310</v>
      </c>
      <c r="B386" s="487" t="s">
        <v>260</v>
      </c>
      <c r="C386" s="491">
        <v>7570</v>
      </c>
      <c r="D386" s="493">
        <f>6191+202+175+327+7+275+142</f>
        <v>7319</v>
      </c>
      <c r="E386" s="3">
        <v>67</v>
      </c>
      <c r="F386" s="9">
        <v>6.73</v>
      </c>
      <c r="G386" s="473">
        <f>E386*F386+E387*F387+H386</f>
        <v>1776.91</v>
      </c>
      <c r="H386" s="44">
        <f>-7.66-4.66-6.06-4.34</f>
        <v>-22.72</v>
      </c>
      <c r="I386" s="330"/>
    </row>
    <row r="387" spans="1:12">
      <c r="A387" s="486"/>
      <c r="B387" s="488"/>
      <c r="C387" s="492"/>
      <c r="D387" s="494"/>
      <c r="E387" s="3">
        <v>184</v>
      </c>
      <c r="F387" s="9">
        <v>7.33</v>
      </c>
      <c r="G387" s="497"/>
      <c r="H387" s="51"/>
      <c r="I387" s="330"/>
    </row>
    <row r="388" spans="1:12" ht="20.25" customHeight="1">
      <c r="A388" s="132">
        <v>311</v>
      </c>
      <c r="B388" s="285" t="s">
        <v>261</v>
      </c>
      <c r="C388" s="453">
        <v>1869</v>
      </c>
      <c r="D388" s="5">
        <f>1957-17</f>
        <v>1940</v>
      </c>
      <c r="E388" s="3">
        <f>C388-D388</f>
        <v>-71</v>
      </c>
      <c r="F388" s="9">
        <v>7.33</v>
      </c>
      <c r="G388" s="245"/>
      <c r="H388" s="44">
        <v>-1.41</v>
      </c>
      <c r="I388" s="330" t="s">
        <v>16</v>
      </c>
    </row>
    <row r="389" spans="1:12" ht="15.75" customHeight="1">
      <c r="A389" s="424">
        <v>312</v>
      </c>
      <c r="B389" s="423" t="s">
        <v>262</v>
      </c>
      <c r="C389" s="441">
        <v>10840</v>
      </c>
      <c r="D389" s="420">
        <f>8730+300+173+314+300+500+500+500-69</f>
        <v>11248</v>
      </c>
      <c r="E389" s="3">
        <f>C389-D389</f>
        <v>-408</v>
      </c>
      <c r="F389" s="9">
        <v>7.33</v>
      </c>
      <c r="G389" s="419"/>
      <c r="H389" s="44">
        <v>-6.46</v>
      </c>
      <c r="I389" s="330"/>
    </row>
    <row r="390" spans="1:12" ht="35.25" customHeight="1">
      <c r="A390" s="67">
        <v>313</v>
      </c>
      <c r="B390" s="283" t="s">
        <v>263</v>
      </c>
      <c r="C390" s="16">
        <v>13363</v>
      </c>
      <c r="D390" s="4">
        <f>7894+411+556+690+1+664+324+104+208+401+401+371+326+222+713</f>
        <v>13286</v>
      </c>
      <c r="E390" s="3">
        <f>C390-D390</f>
        <v>77</v>
      </c>
      <c r="F390" s="9">
        <v>7.33</v>
      </c>
      <c r="G390" s="26">
        <f>E390*F390+H390</f>
        <v>541.65</v>
      </c>
      <c r="H390" s="44">
        <v>-22.76</v>
      </c>
      <c r="I390" s="330"/>
    </row>
    <row r="391" spans="1:12" ht="30" customHeight="1">
      <c r="A391" s="207">
        <v>314</v>
      </c>
      <c r="B391" s="278" t="s">
        <v>335</v>
      </c>
      <c r="C391" s="206">
        <v>14772</v>
      </c>
      <c r="D391" s="205">
        <f>6227+753+162+486+742+742+249+413+1589+1723+1106+457+67+45+3</f>
        <v>14764</v>
      </c>
      <c r="E391" s="3">
        <f>C391-D391</f>
        <v>8</v>
      </c>
      <c r="F391" s="9">
        <v>7.33</v>
      </c>
      <c r="G391" s="26">
        <f>E391*F391+H391</f>
        <v>51.31</v>
      </c>
      <c r="H391" s="44">
        <v>-7.33</v>
      </c>
      <c r="I391" s="330"/>
    </row>
    <row r="392" spans="1:12" ht="16.5" customHeight="1">
      <c r="A392" s="516">
        <v>315</v>
      </c>
      <c r="B392" s="508" t="s">
        <v>264</v>
      </c>
      <c r="C392" s="491">
        <v>243</v>
      </c>
      <c r="D392" s="493">
        <f>152+42</f>
        <v>194</v>
      </c>
      <c r="E392" s="3">
        <v>35</v>
      </c>
      <c r="F392" s="9">
        <v>6.17</v>
      </c>
      <c r="G392" s="473">
        <f>E392*F392+E393*F393+E394*F394+H392</f>
        <v>310.16999999999996</v>
      </c>
      <c r="H392" s="44"/>
      <c r="I392" s="330"/>
    </row>
    <row r="393" spans="1:12" ht="15.75" customHeight="1">
      <c r="A393" s="544"/>
      <c r="B393" s="556"/>
      <c r="C393" s="555"/>
      <c r="D393" s="554"/>
      <c r="E393" s="3">
        <f>4+10</f>
        <v>14</v>
      </c>
      <c r="F393" s="9">
        <v>6.73</v>
      </c>
      <c r="G393" s="474"/>
      <c r="H393" s="44"/>
      <c r="I393" s="330"/>
    </row>
    <row r="394" spans="1:12" ht="15.75" customHeight="1">
      <c r="A394" s="517"/>
      <c r="B394" s="509"/>
      <c r="C394" s="492"/>
      <c r="D394" s="494"/>
      <c r="E394" s="3"/>
      <c r="F394" s="9">
        <v>7.33</v>
      </c>
      <c r="G394" s="497"/>
      <c r="H394" s="51"/>
      <c r="I394" s="330"/>
    </row>
    <row r="395" spans="1:12">
      <c r="A395" s="260">
        <v>316</v>
      </c>
      <c r="B395" s="278" t="s">
        <v>265</v>
      </c>
      <c r="C395" s="265">
        <v>14919</v>
      </c>
      <c r="D395" s="263">
        <f>10876+1124+258+585+20+148+200+170+347+279+233+121+20+258-42</f>
        <v>14597</v>
      </c>
      <c r="E395" s="3">
        <f t="shared" ref="E395:E402" si="58">C395-D395</f>
        <v>322</v>
      </c>
      <c r="F395" s="9">
        <v>7.33</v>
      </c>
      <c r="G395" s="26">
        <f>E395*F395+H395</f>
        <v>2360.2600000000002</v>
      </c>
      <c r="H395" s="44"/>
      <c r="I395" s="330"/>
    </row>
    <row r="396" spans="1:12" ht="22.5" customHeight="1">
      <c r="A396" s="67">
        <v>317</v>
      </c>
      <c r="B396" s="284" t="s">
        <v>266</v>
      </c>
      <c r="C396" s="32">
        <v>4616</v>
      </c>
      <c r="D396" s="31">
        <f>1795+200+400+203+27+190+157+172+297+252+297+74+162+116</f>
        <v>4342</v>
      </c>
      <c r="E396" s="3">
        <f t="shared" si="58"/>
        <v>274</v>
      </c>
      <c r="F396" s="9">
        <v>7.33</v>
      </c>
      <c r="G396" s="26">
        <f>E396*F396+H396</f>
        <v>1993.76</v>
      </c>
      <c r="H396" s="44">
        <v>-14.66</v>
      </c>
      <c r="I396" s="330"/>
    </row>
    <row r="397" spans="1:12" ht="15" customHeight="1">
      <c r="A397" s="260">
        <v>318</v>
      </c>
      <c r="B397" s="278" t="s">
        <v>267</v>
      </c>
      <c r="C397" s="265">
        <v>19030</v>
      </c>
      <c r="D397" s="263">
        <f>15891+274+192+110+78+84+178+135+155+327+193+226+144+259+179+19+306+132-2</f>
        <v>18880</v>
      </c>
      <c r="E397" s="3">
        <f t="shared" si="58"/>
        <v>150</v>
      </c>
      <c r="F397" s="9">
        <v>7.33</v>
      </c>
      <c r="G397" s="26">
        <f>E397*F397+H397</f>
        <v>1099.5</v>
      </c>
      <c r="H397" s="44"/>
      <c r="I397" s="330"/>
    </row>
    <row r="398" spans="1:12" ht="51" customHeight="1">
      <c r="A398" s="179">
        <v>319</v>
      </c>
      <c r="B398" s="278" t="s">
        <v>268</v>
      </c>
      <c r="C398" s="178">
        <v>2028</v>
      </c>
      <c r="D398" s="182">
        <f>65+476+294+654+254</f>
        <v>1743</v>
      </c>
      <c r="E398" s="3">
        <f t="shared" si="58"/>
        <v>285</v>
      </c>
      <c r="F398" s="9">
        <v>7.33</v>
      </c>
      <c r="G398" s="229">
        <f>E398*F398+H398</f>
        <v>2089.0500000000002</v>
      </c>
      <c r="H398" s="44"/>
      <c r="I398" s="339" t="s">
        <v>354</v>
      </c>
    </row>
    <row r="399" spans="1:12" ht="51" customHeight="1">
      <c r="A399" s="138">
        <v>320</v>
      </c>
      <c r="B399" s="278" t="s">
        <v>337</v>
      </c>
      <c r="C399" s="39">
        <v>364</v>
      </c>
      <c r="D399" s="38">
        <f>121+40+27+61+49+30+15</f>
        <v>343</v>
      </c>
      <c r="E399" s="3">
        <f t="shared" si="58"/>
        <v>21</v>
      </c>
      <c r="F399" s="9">
        <v>7.33</v>
      </c>
      <c r="G399" s="229">
        <f t="shared" ref="G399:G401" si="59">E399*F399+H399</f>
        <v>153.93</v>
      </c>
      <c r="H399" s="44"/>
      <c r="I399" s="330" t="s">
        <v>327</v>
      </c>
    </row>
    <row r="400" spans="1:12" ht="15.75" customHeight="1">
      <c r="A400" s="162">
        <v>321</v>
      </c>
      <c r="B400" s="278" t="s">
        <v>269</v>
      </c>
      <c r="C400" s="164">
        <v>4980</v>
      </c>
      <c r="D400" s="163">
        <f>3454+165+525+7+204+308+167+25</f>
        <v>4855</v>
      </c>
      <c r="E400" s="3">
        <f t="shared" si="58"/>
        <v>125</v>
      </c>
      <c r="F400" s="9">
        <v>7.33</v>
      </c>
      <c r="G400" s="229">
        <f t="shared" si="59"/>
        <v>916.25</v>
      </c>
      <c r="H400" s="44"/>
      <c r="I400" s="330"/>
      <c r="J400" s="1"/>
      <c r="K400" s="1"/>
      <c r="L400" s="1"/>
    </row>
    <row r="401" spans="1:9" ht="15" customHeight="1">
      <c r="A401" s="281">
        <v>322</v>
      </c>
      <c r="B401" s="293" t="s">
        <v>270</v>
      </c>
      <c r="C401" s="262">
        <v>1424</v>
      </c>
      <c r="D401" s="263">
        <f>1100+19+131+142+18-2</f>
        <v>1408</v>
      </c>
      <c r="E401" s="3">
        <f t="shared" si="58"/>
        <v>16</v>
      </c>
      <c r="F401" s="9">
        <v>7.33</v>
      </c>
      <c r="G401" s="264">
        <f t="shared" si="59"/>
        <v>117.28</v>
      </c>
      <c r="H401" s="44"/>
      <c r="I401" s="330"/>
    </row>
    <row r="402" spans="1:9" ht="36" customHeight="1">
      <c r="A402" s="281">
        <v>323</v>
      </c>
      <c r="B402" s="278" t="s">
        <v>271</v>
      </c>
      <c r="C402" s="108">
        <v>14406</v>
      </c>
      <c r="D402" s="110">
        <f>10500+87+1860+119+336+742+474+133</f>
        <v>14251</v>
      </c>
      <c r="E402" s="265">
        <f t="shared" si="58"/>
        <v>155</v>
      </c>
      <c r="F402" s="17">
        <v>7.33</v>
      </c>
      <c r="G402" s="229">
        <f>E402*F402+H402</f>
        <v>1121.49</v>
      </c>
      <c r="H402" s="272">
        <v>-14.66</v>
      </c>
      <c r="I402" s="330"/>
    </row>
    <row r="403" spans="1:9" ht="17.25" customHeight="1">
      <c r="A403" s="276">
        <v>324</v>
      </c>
      <c r="B403" s="344" t="s">
        <v>272</v>
      </c>
      <c r="C403" s="525" t="s">
        <v>293</v>
      </c>
      <c r="D403" s="525"/>
      <c r="E403" s="525"/>
      <c r="F403" s="525"/>
      <c r="G403" s="525"/>
      <c r="H403" s="525"/>
      <c r="I403" s="330"/>
    </row>
    <row r="404" spans="1:9" ht="17.25" customHeight="1">
      <c r="A404" s="276">
        <v>325</v>
      </c>
      <c r="B404" s="344" t="s">
        <v>272</v>
      </c>
      <c r="C404" s="525" t="s">
        <v>293</v>
      </c>
      <c r="D404" s="525"/>
      <c r="E404" s="525"/>
      <c r="F404" s="525"/>
      <c r="G404" s="525"/>
      <c r="H404" s="525"/>
      <c r="I404" s="227"/>
    </row>
    <row r="405" spans="1:9" ht="15.75" customHeight="1">
      <c r="A405" s="417">
        <v>326</v>
      </c>
      <c r="B405" s="446" t="s">
        <v>77</v>
      </c>
      <c r="C405" s="458">
        <v>3313</v>
      </c>
      <c r="D405" s="437">
        <f>2545+200+100+80+50+59+50+120+82-3</f>
        <v>3283</v>
      </c>
      <c r="E405" s="3">
        <f>C405-D405</f>
        <v>30</v>
      </c>
      <c r="F405" s="18">
        <v>7.33</v>
      </c>
      <c r="G405" s="26">
        <f t="shared" ref="G405:G407" si="60">E405*F405+H405</f>
        <v>218.57</v>
      </c>
      <c r="H405" s="273">
        <v>-1.33</v>
      </c>
      <c r="I405" s="330"/>
    </row>
    <row r="406" spans="1:9" ht="19.5" customHeight="1">
      <c r="A406" s="67">
        <v>327</v>
      </c>
      <c r="B406" s="283" t="s">
        <v>273</v>
      </c>
      <c r="C406" s="16">
        <v>4540</v>
      </c>
      <c r="D406" s="4">
        <f>4636-19</f>
        <v>4617</v>
      </c>
      <c r="E406" s="3">
        <f>C406-D406</f>
        <v>-77</v>
      </c>
      <c r="F406" s="9">
        <v>7.33</v>
      </c>
      <c r="G406" s="26"/>
      <c r="H406" s="44">
        <v>-4.87</v>
      </c>
      <c r="I406" s="330"/>
    </row>
    <row r="407" spans="1:9" ht="29.25" customHeight="1">
      <c r="A407" s="67">
        <v>328</v>
      </c>
      <c r="B407" s="278" t="s">
        <v>313</v>
      </c>
      <c r="C407" s="82">
        <v>34106</v>
      </c>
      <c r="D407" s="84">
        <f>23055+172+1+681+895+1464+359+991+492+557+437+695+1262+665+242+65+45+50+284+1010+365</f>
        <v>33787</v>
      </c>
      <c r="E407" s="3">
        <f>C407-D407</f>
        <v>319</v>
      </c>
      <c r="F407" s="9">
        <v>7.33</v>
      </c>
      <c r="G407" s="26">
        <f t="shared" si="60"/>
        <v>2330.94</v>
      </c>
      <c r="H407" s="44">
        <v>-7.33</v>
      </c>
      <c r="I407" s="330"/>
    </row>
    <row r="408" spans="1:9" ht="30.75" customHeight="1">
      <c r="A408" s="67">
        <v>329</v>
      </c>
      <c r="B408" s="278" t="s">
        <v>274</v>
      </c>
      <c r="C408" s="88">
        <v>18021</v>
      </c>
      <c r="D408" s="87">
        <f>13320+373+239+278+382+666+207+55+1285+754+247</f>
        <v>17806</v>
      </c>
      <c r="E408" s="3">
        <f>C408-D408</f>
        <v>215</v>
      </c>
      <c r="F408" s="9">
        <v>7.33</v>
      </c>
      <c r="G408" s="26">
        <f>E408*F408+H408</f>
        <v>1568.6200000000001</v>
      </c>
      <c r="H408" s="44">
        <v>-7.33</v>
      </c>
      <c r="I408" s="330"/>
    </row>
    <row r="409" spans="1:9" ht="18" customHeight="1">
      <c r="A409" s="480">
        <v>330</v>
      </c>
      <c r="B409" s="498" t="s">
        <v>302</v>
      </c>
      <c r="C409" s="491">
        <v>2278</v>
      </c>
      <c r="D409" s="493">
        <f>337+486+102+159+2+222+445+148-16</f>
        <v>1885</v>
      </c>
      <c r="E409" s="3">
        <v>173</v>
      </c>
      <c r="F409" s="9">
        <v>6.73</v>
      </c>
      <c r="G409" s="473">
        <f>E409*F409+E410*F410+H409</f>
        <v>2771.3399999999997</v>
      </c>
      <c r="H409" s="44">
        <v>-5.55</v>
      </c>
      <c r="I409" s="330" t="s">
        <v>275</v>
      </c>
    </row>
    <row r="410" spans="1:9" ht="30" customHeight="1">
      <c r="A410" s="480"/>
      <c r="B410" s="499"/>
      <c r="C410" s="492"/>
      <c r="D410" s="494"/>
      <c r="E410" s="3">
        <v>220</v>
      </c>
      <c r="F410" s="9">
        <v>7.33</v>
      </c>
      <c r="G410" s="497"/>
      <c r="H410" s="44"/>
      <c r="I410" s="330"/>
    </row>
    <row r="411" spans="1:9" ht="39.75" customHeight="1">
      <c r="A411" s="424">
        <v>331</v>
      </c>
      <c r="B411" s="423" t="s">
        <v>367</v>
      </c>
      <c r="C411" s="448">
        <v>12237</v>
      </c>
      <c r="D411" s="420">
        <f>7752+1000+324+324+138+170+445+445+594+742+371-76</f>
        <v>12229</v>
      </c>
      <c r="E411" s="3">
        <f>C411-D411</f>
        <v>8</v>
      </c>
      <c r="F411" s="9">
        <v>7.33</v>
      </c>
      <c r="G411" s="419">
        <f>E411*F411+H411</f>
        <v>57.69</v>
      </c>
      <c r="H411" s="44">
        <v>-0.95</v>
      </c>
      <c r="I411" s="330"/>
    </row>
    <row r="412" spans="1:9" ht="27" customHeight="1">
      <c r="A412" s="133">
        <v>332</v>
      </c>
      <c r="B412" s="277" t="s">
        <v>276</v>
      </c>
      <c r="C412" s="122">
        <v>16314</v>
      </c>
      <c r="D412" s="123">
        <f>11492+1686+1517+130+445+1+849+143</f>
        <v>16263</v>
      </c>
      <c r="E412" s="3">
        <f>C412-D412</f>
        <v>51</v>
      </c>
      <c r="F412" s="9">
        <v>7.33</v>
      </c>
      <c r="G412" s="229">
        <f>E412*F412+H412</f>
        <v>351.84</v>
      </c>
      <c r="H412" s="44">
        <v>-21.99</v>
      </c>
      <c r="I412" s="339"/>
    </row>
    <row r="413" spans="1:9" ht="27" customHeight="1">
      <c r="A413" s="67">
        <v>333</v>
      </c>
      <c r="B413" s="286" t="s">
        <v>74</v>
      </c>
      <c r="C413" s="10"/>
      <c r="D413" s="11"/>
      <c r="E413" s="3"/>
      <c r="F413" s="9"/>
      <c r="G413" s="26"/>
      <c r="H413" s="44"/>
      <c r="I413" s="330"/>
    </row>
    <row r="414" spans="1:9" ht="33" customHeight="1">
      <c r="A414" s="214">
        <v>334</v>
      </c>
      <c r="B414" s="304" t="s">
        <v>277</v>
      </c>
      <c r="C414" s="215">
        <v>290</v>
      </c>
      <c r="D414" s="215">
        <v>290</v>
      </c>
      <c r="E414" s="216">
        <f>C414-D414</f>
        <v>0</v>
      </c>
      <c r="F414" s="217">
        <v>7.33</v>
      </c>
      <c r="G414" s="26"/>
      <c r="H414" s="50"/>
      <c r="I414" s="330" t="s">
        <v>376</v>
      </c>
    </row>
    <row r="415" spans="1:9" ht="34.5" customHeight="1">
      <c r="A415" s="132">
        <v>335</v>
      </c>
      <c r="B415" s="285" t="s">
        <v>334</v>
      </c>
      <c r="C415" s="471">
        <v>470</v>
      </c>
      <c r="D415" s="23">
        <f>679-40</f>
        <v>639</v>
      </c>
      <c r="E415" s="3">
        <f>C415-D415</f>
        <v>-169</v>
      </c>
      <c r="F415" s="9">
        <v>7.33</v>
      </c>
      <c r="G415" s="26"/>
      <c r="H415" s="44">
        <v>-0.6</v>
      </c>
      <c r="I415" s="330"/>
    </row>
    <row r="416" spans="1:9">
      <c r="A416" s="67">
        <v>336</v>
      </c>
      <c r="B416" s="278" t="s">
        <v>278</v>
      </c>
      <c r="C416" s="41">
        <v>36506</v>
      </c>
      <c r="D416" s="40">
        <f>26598+843+878+47+419+523+648+590+350+222+785+595+878+323+255+669+860+459</f>
        <v>35942</v>
      </c>
      <c r="E416" s="3">
        <f>C416-D416</f>
        <v>564</v>
      </c>
      <c r="F416" s="9">
        <v>7.33</v>
      </c>
      <c r="G416" s="26">
        <f>E416*F416+H416</f>
        <v>4104.8</v>
      </c>
      <c r="H416" s="44">
        <v>-29.32</v>
      </c>
      <c r="I416" s="330"/>
    </row>
    <row r="417" spans="1:9">
      <c r="A417" s="480">
        <v>337</v>
      </c>
      <c r="B417" s="498" t="s">
        <v>279</v>
      </c>
      <c r="C417" s="491">
        <v>9353</v>
      </c>
      <c r="D417" s="493">
        <f>6932+486+297+148+148+74+297+445+445-17</f>
        <v>9255</v>
      </c>
      <c r="E417" s="3">
        <v>31</v>
      </c>
      <c r="F417" s="9">
        <v>6.73</v>
      </c>
      <c r="G417" s="473">
        <f>E417*F417+E418*F418+H417</f>
        <v>696.91</v>
      </c>
      <c r="H417" s="44">
        <v>-2.83</v>
      </c>
      <c r="I417" s="330"/>
    </row>
    <row r="418" spans="1:9" ht="17.25" customHeight="1">
      <c r="A418" s="480"/>
      <c r="B418" s="499"/>
      <c r="C418" s="492"/>
      <c r="D418" s="494"/>
      <c r="E418" s="3">
        <v>67</v>
      </c>
      <c r="F418" s="9">
        <v>7.33</v>
      </c>
      <c r="G418" s="497"/>
      <c r="H418" s="44"/>
      <c r="I418" s="330"/>
    </row>
    <row r="419" spans="1:9" ht="17.25" customHeight="1">
      <c r="A419" s="382">
        <v>338</v>
      </c>
      <c r="B419" s="378" t="s">
        <v>280</v>
      </c>
      <c r="C419" s="380">
        <v>5739</v>
      </c>
      <c r="D419" s="374">
        <f>4473+374+288+445-14+59+218</f>
        <v>5843</v>
      </c>
      <c r="E419" s="3">
        <f>C419-D419</f>
        <v>-104</v>
      </c>
      <c r="F419" s="9">
        <v>7.33</v>
      </c>
      <c r="G419" s="26"/>
      <c r="H419" s="44">
        <f>-4.91-4.99</f>
        <v>-9.9</v>
      </c>
      <c r="I419" s="330"/>
    </row>
    <row r="420" spans="1:9" ht="31.5">
      <c r="A420" s="67">
        <v>339</v>
      </c>
      <c r="B420" s="278" t="s">
        <v>281</v>
      </c>
      <c r="C420" s="54">
        <v>3075</v>
      </c>
      <c r="D420" s="53">
        <f>1408+161+358+366+150+18+64+70+53+36+5+97+143</f>
        <v>2929</v>
      </c>
      <c r="E420" s="3">
        <f>C420-D420</f>
        <v>146</v>
      </c>
      <c r="F420" s="9">
        <v>7.33</v>
      </c>
      <c r="G420" s="26">
        <f t="shared" ref="G420:G425" si="61">E420*F420+H420</f>
        <v>1070.18</v>
      </c>
      <c r="H420" s="44"/>
      <c r="I420" s="227"/>
    </row>
    <row r="421" spans="1:9" ht="16.5" customHeight="1">
      <c r="A421" s="475">
        <v>340</v>
      </c>
      <c r="B421" s="526" t="s">
        <v>282</v>
      </c>
      <c r="C421" s="489">
        <v>670</v>
      </c>
      <c r="D421" s="489">
        <f>582+3+3+54</f>
        <v>642</v>
      </c>
      <c r="E421" s="3">
        <v>28</v>
      </c>
      <c r="F421" s="9">
        <v>6.73</v>
      </c>
      <c r="G421" s="473">
        <f>E421*F421+E422*F422+H421</f>
        <v>188.44</v>
      </c>
      <c r="H421" s="44"/>
      <c r="I421" s="330" t="s">
        <v>16</v>
      </c>
    </row>
    <row r="422" spans="1:9" ht="16.5" customHeight="1">
      <c r="A422" s="476"/>
      <c r="B422" s="527"/>
      <c r="C422" s="490"/>
      <c r="D422" s="490"/>
      <c r="E422" s="3"/>
      <c r="F422" s="9"/>
      <c r="G422" s="497"/>
      <c r="H422" s="51"/>
      <c r="I422" s="330"/>
    </row>
    <row r="423" spans="1:9" ht="18.75" customHeight="1">
      <c r="A423" s="485">
        <v>341</v>
      </c>
      <c r="B423" s="487" t="s">
        <v>283</v>
      </c>
      <c r="C423" s="491">
        <v>5073</v>
      </c>
      <c r="D423" s="493">
        <f>3652+338+298+248+286+106+6</f>
        <v>4934</v>
      </c>
      <c r="E423" s="3">
        <v>65</v>
      </c>
      <c r="F423" s="9">
        <v>6.73</v>
      </c>
      <c r="G423" s="473">
        <f>E423*F423+E424*F424+H423</f>
        <v>972.52</v>
      </c>
      <c r="H423" s="44">
        <f>-6.18-0.55-0.62</f>
        <v>-7.35</v>
      </c>
      <c r="I423" s="227"/>
    </row>
    <row r="424" spans="1:9" ht="18.75" customHeight="1">
      <c r="A424" s="486"/>
      <c r="B424" s="488"/>
      <c r="C424" s="492"/>
      <c r="D424" s="494"/>
      <c r="E424" s="3">
        <v>74</v>
      </c>
      <c r="F424" s="9">
        <v>7.33</v>
      </c>
      <c r="G424" s="497"/>
      <c r="H424" s="51"/>
      <c r="I424" s="227"/>
    </row>
    <row r="425" spans="1:9">
      <c r="A425" s="67">
        <v>342</v>
      </c>
      <c r="B425" s="278" t="s">
        <v>284</v>
      </c>
      <c r="C425" s="441">
        <v>32568</v>
      </c>
      <c r="D425" s="53">
        <f>26473+843+495+334+486+199+114+148+2+297+445+956+445+297+297+297</f>
        <v>32128</v>
      </c>
      <c r="E425" s="3">
        <f>C425-D425</f>
        <v>440</v>
      </c>
      <c r="F425" s="9">
        <v>7.33</v>
      </c>
      <c r="G425" s="26">
        <f t="shared" si="61"/>
        <v>3190.7599999999998</v>
      </c>
      <c r="H425" s="44">
        <v>-34.44</v>
      </c>
      <c r="I425" s="227"/>
    </row>
    <row r="426" spans="1:9" ht="17.25" customHeight="1">
      <c r="A426" s="485">
        <v>343</v>
      </c>
      <c r="B426" s="487" t="s">
        <v>285</v>
      </c>
      <c r="C426" s="491">
        <v>4082</v>
      </c>
      <c r="D426" s="493">
        <f>2203+107+145+31+449+361+161+48+236</f>
        <v>3741</v>
      </c>
      <c r="E426" s="3">
        <v>183</v>
      </c>
      <c r="F426" s="9">
        <v>6.73</v>
      </c>
      <c r="G426" s="473">
        <f>E426*F426+E427*F427+H426</f>
        <v>2383.0000000000005</v>
      </c>
      <c r="H426" s="44">
        <v>-6.73</v>
      </c>
      <c r="I426" s="330"/>
    </row>
    <row r="427" spans="1:9" ht="17.25" customHeight="1">
      <c r="A427" s="486"/>
      <c r="B427" s="488"/>
      <c r="C427" s="492"/>
      <c r="D427" s="494"/>
      <c r="E427" s="3">
        <v>158</v>
      </c>
      <c r="F427" s="9">
        <v>7.33</v>
      </c>
      <c r="G427" s="497"/>
      <c r="H427" s="51"/>
      <c r="I427" s="330"/>
    </row>
    <row r="428" spans="1:9" ht="18.75" customHeight="1">
      <c r="A428" s="500">
        <v>344</v>
      </c>
      <c r="B428" s="541" t="s">
        <v>286</v>
      </c>
      <c r="C428" s="539">
        <v>5714</v>
      </c>
      <c r="D428" s="537">
        <f>5380+153</f>
        <v>5533</v>
      </c>
      <c r="E428" s="216">
        <v>181</v>
      </c>
      <c r="F428" s="217">
        <v>6.17</v>
      </c>
      <c r="G428" s="473">
        <f>E428*F428+E429*F429+H428</f>
        <v>1116.77</v>
      </c>
      <c r="H428" s="51"/>
      <c r="I428" s="496" t="s">
        <v>376</v>
      </c>
    </row>
    <row r="429" spans="1:9" ht="19.5" customHeight="1">
      <c r="A429" s="501"/>
      <c r="B429" s="542"/>
      <c r="C429" s="540"/>
      <c r="D429" s="538"/>
      <c r="E429" s="216">
        <v>0</v>
      </c>
      <c r="F429" s="217">
        <v>7.33</v>
      </c>
      <c r="G429" s="497"/>
      <c r="H429" s="51"/>
      <c r="I429" s="496"/>
    </row>
    <row r="430" spans="1:9" ht="19.5" customHeight="1">
      <c r="A430" s="480">
        <v>345</v>
      </c>
      <c r="B430" s="498" t="s">
        <v>328</v>
      </c>
      <c r="C430" s="491">
        <v>2477</v>
      </c>
      <c r="D430" s="493">
        <f>1239+243+197+136+35+7+4+16+15+401-35</f>
        <v>2258</v>
      </c>
      <c r="E430" s="3">
        <v>70</v>
      </c>
      <c r="F430" s="9">
        <v>6.73</v>
      </c>
      <c r="G430" s="473">
        <f>E430*F430+E431*F431+H430</f>
        <v>1563.27</v>
      </c>
      <c r="H430" s="44"/>
      <c r="I430" s="330"/>
    </row>
    <row r="431" spans="1:9" ht="17.25" customHeight="1">
      <c r="A431" s="480"/>
      <c r="B431" s="499"/>
      <c r="C431" s="492"/>
      <c r="D431" s="494"/>
      <c r="E431" s="3">
        <v>149</v>
      </c>
      <c r="F431" s="9">
        <v>7.33</v>
      </c>
      <c r="G431" s="497"/>
      <c r="H431" s="44"/>
      <c r="I431" s="330"/>
    </row>
    <row r="432" spans="1:9" ht="47.25" customHeight="1">
      <c r="A432" s="424">
        <v>346</v>
      </c>
      <c r="B432" s="423" t="s">
        <v>368</v>
      </c>
      <c r="C432" s="448">
        <v>34775</v>
      </c>
      <c r="D432" s="420">
        <f>26312+1011+486+972+218+245+445+445+891+445+297+297+297+297+222+891+445+445+297-30</f>
        <v>34928</v>
      </c>
      <c r="E432" s="3">
        <f>C432-D432</f>
        <v>-153</v>
      </c>
      <c r="F432" s="9">
        <v>7.33</v>
      </c>
      <c r="G432" s="419"/>
      <c r="H432" s="44">
        <v>-5.88</v>
      </c>
      <c r="I432" s="427"/>
    </row>
    <row r="433" spans="1:9" ht="21" customHeight="1">
      <c r="A433" s="480">
        <v>347</v>
      </c>
      <c r="B433" s="498" t="s">
        <v>287</v>
      </c>
      <c r="C433" s="502">
        <v>3242</v>
      </c>
      <c r="D433" s="493">
        <f>3075+104-25</f>
        <v>3154</v>
      </c>
      <c r="E433" s="3">
        <v>15</v>
      </c>
      <c r="F433" s="9">
        <v>6.73</v>
      </c>
      <c r="G433" s="473">
        <f>E433*F433+E434*F434+H433</f>
        <v>636.04000000000008</v>
      </c>
      <c r="H433" s="44"/>
      <c r="I433" s="330"/>
    </row>
    <row r="434" spans="1:9" ht="19.5" customHeight="1">
      <c r="A434" s="480"/>
      <c r="B434" s="499"/>
      <c r="C434" s="503"/>
      <c r="D434" s="494"/>
      <c r="E434" s="3">
        <v>73</v>
      </c>
      <c r="F434" s="9">
        <v>7.33</v>
      </c>
      <c r="G434" s="497"/>
      <c r="H434" s="44"/>
      <c r="I434" s="330"/>
    </row>
    <row r="435" spans="1:9" ht="21" customHeight="1">
      <c r="A435" s="403">
        <v>348</v>
      </c>
      <c r="B435" s="390" t="s">
        <v>288</v>
      </c>
      <c r="C435" s="373">
        <v>31738</v>
      </c>
      <c r="D435" s="415">
        <f>18100+2461+365+1769+2402+1632+166+740+1250+980+1500-187+274+336</f>
        <v>31788</v>
      </c>
      <c r="E435" s="3">
        <f>C435-D435</f>
        <v>-50</v>
      </c>
      <c r="F435" s="9">
        <v>7.33</v>
      </c>
      <c r="G435" s="375"/>
      <c r="H435" s="44">
        <f>-0.48-7.03</f>
        <v>-7.51</v>
      </c>
      <c r="I435" s="393"/>
    </row>
    <row r="436" spans="1:9" ht="14.25" customHeight="1">
      <c r="A436" s="384">
        <v>349</v>
      </c>
      <c r="B436" s="386" t="s">
        <v>289</v>
      </c>
      <c r="C436" s="380">
        <v>12677</v>
      </c>
      <c r="D436" s="374">
        <f>8469+657+200+236+467+226+386+436+750+127+340+133+288</f>
        <v>12715</v>
      </c>
      <c r="E436" s="3">
        <f>C436-D436</f>
        <v>-38</v>
      </c>
      <c r="F436" s="9">
        <v>7.33</v>
      </c>
      <c r="G436" s="375"/>
      <c r="H436" s="44">
        <f>-2.3-2.18</f>
        <v>-4.4800000000000004</v>
      </c>
      <c r="I436" s="330"/>
    </row>
    <row r="437" spans="1:9" ht="19.5" customHeight="1">
      <c r="A437" s="480">
        <v>350</v>
      </c>
      <c r="B437" s="498" t="s">
        <v>290</v>
      </c>
      <c r="C437" s="535">
        <v>6165</v>
      </c>
      <c r="D437" s="493">
        <f>4952+318+180+318+5+371+37</f>
        <v>6181</v>
      </c>
      <c r="E437" s="3">
        <v>-187</v>
      </c>
      <c r="F437" s="9">
        <v>5.93</v>
      </c>
      <c r="G437" s="473"/>
      <c r="H437" s="44">
        <f>-12.81-0.99</f>
        <v>-13.8</v>
      </c>
      <c r="I437" s="330"/>
    </row>
    <row r="438" spans="1:9" ht="20.25" customHeight="1">
      <c r="A438" s="480"/>
      <c r="B438" s="499"/>
      <c r="C438" s="536"/>
      <c r="D438" s="494"/>
      <c r="E438" s="3">
        <f>9+38+12+2+35-5+69+114+109-371+117+35+15+22-37</f>
        <v>164</v>
      </c>
      <c r="F438" s="9">
        <v>6.73</v>
      </c>
      <c r="G438" s="497"/>
      <c r="H438" s="44"/>
      <c r="I438" s="330"/>
    </row>
    <row r="439" spans="1:9" ht="17.25" customHeight="1">
      <c r="A439" s="485">
        <v>351</v>
      </c>
      <c r="B439" s="487" t="s">
        <v>291</v>
      </c>
      <c r="C439" s="491">
        <v>19256</v>
      </c>
      <c r="D439" s="493">
        <f>13163+836+1579+314+825+1485</f>
        <v>18202</v>
      </c>
      <c r="E439" s="3">
        <v>776</v>
      </c>
      <c r="F439" s="9">
        <v>6.73</v>
      </c>
      <c r="G439" s="473">
        <f>E439*F439+E440*F440+H439</f>
        <v>7247.54</v>
      </c>
      <c r="H439" s="44">
        <v>-12.68</v>
      </c>
      <c r="I439" s="495" t="s">
        <v>7</v>
      </c>
    </row>
    <row r="440" spans="1:9" ht="24.75" customHeight="1">
      <c r="A440" s="486"/>
      <c r="B440" s="488"/>
      <c r="C440" s="492"/>
      <c r="D440" s="494"/>
      <c r="E440" s="3">
        <v>278</v>
      </c>
      <c r="F440" s="9">
        <v>7.33</v>
      </c>
      <c r="G440" s="497"/>
      <c r="H440" s="51"/>
      <c r="I440" s="495"/>
    </row>
    <row r="441" spans="1:9" ht="28.5" customHeight="1">
      <c r="A441" s="244">
        <v>352</v>
      </c>
      <c r="B441" s="305" t="s">
        <v>369</v>
      </c>
      <c r="C441" s="243">
        <v>4082</v>
      </c>
      <c r="D441" s="442">
        <f>4015+67</f>
        <v>4082</v>
      </c>
      <c r="E441" s="216">
        <f>C441-D441</f>
        <v>0</v>
      </c>
      <c r="F441" s="217">
        <v>7.33</v>
      </c>
      <c r="G441" s="464"/>
      <c r="H441" s="50"/>
      <c r="I441" s="330" t="s">
        <v>376</v>
      </c>
    </row>
    <row r="442" spans="1:9" ht="35.1" customHeight="1">
      <c r="A442" s="139"/>
      <c r="B442" s="283" t="s">
        <v>292</v>
      </c>
      <c r="C442" s="3">
        <f>SUM(C4:C441)</f>
        <v>3308355</v>
      </c>
      <c r="D442" s="3">
        <f>SUM(D4:D441)</f>
        <v>3273807</v>
      </c>
      <c r="E442" s="3"/>
      <c r="F442" s="3"/>
      <c r="G442" s="239">
        <f>SUM(G4:G441)</f>
        <v>363201.01000000024</v>
      </c>
      <c r="H442" s="44"/>
      <c r="I442" s="329"/>
    </row>
    <row r="443" spans="1:9">
      <c r="A443" s="7"/>
      <c r="B443" s="306"/>
      <c r="C443" s="14"/>
      <c r="D443" s="14"/>
      <c r="E443" s="14"/>
      <c r="F443" s="15"/>
      <c r="G443" s="240"/>
      <c r="I443" s="329"/>
    </row>
    <row r="444" spans="1:9">
      <c r="A444" s="7"/>
      <c r="B444" s="306"/>
      <c r="C444" s="14"/>
      <c r="D444" s="14"/>
      <c r="E444" s="14"/>
      <c r="F444" s="15"/>
      <c r="G444" s="240"/>
      <c r="I444" s="329"/>
    </row>
  </sheetData>
  <mergeCells count="452">
    <mergeCell ref="D72:D73"/>
    <mergeCell ref="B58:B59"/>
    <mergeCell ref="A72:A73"/>
    <mergeCell ref="A68:A69"/>
    <mergeCell ref="I25:I26"/>
    <mergeCell ref="I277:I278"/>
    <mergeCell ref="I359:I360"/>
    <mergeCell ref="I6:I7"/>
    <mergeCell ref="G6:G7"/>
    <mergeCell ref="G68:G69"/>
    <mergeCell ref="C68:C69"/>
    <mergeCell ref="D68:D69"/>
    <mergeCell ref="B68:B69"/>
    <mergeCell ref="C67:G67"/>
    <mergeCell ref="G58:G59"/>
    <mergeCell ref="H58:H59"/>
    <mergeCell ref="D58:D59"/>
    <mergeCell ref="C58:C59"/>
    <mergeCell ref="G50:G52"/>
    <mergeCell ref="H48:H49"/>
    <mergeCell ref="B27:B28"/>
    <mergeCell ref="C27:C28"/>
    <mergeCell ref="D27:D28"/>
    <mergeCell ref="C55:G55"/>
    <mergeCell ref="B63:B64"/>
    <mergeCell ref="C63:C64"/>
    <mergeCell ref="D63:D64"/>
    <mergeCell ref="G63:G64"/>
    <mergeCell ref="C180:C181"/>
    <mergeCell ref="G191:G192"/>
    <mergeCell ref="D191:D192"/>
    <mergeCell ref="G90:G92"/>
    <mergeCell ref="D90:D92"/>
    <mergeCell ref="C90:C92"/>
    <mergeCell ref="B90:B92"/>
    <mergeCell ref="H101:H102"/>
    <mergeCell ref="D101:D102"/>
    <mergeCell ref="C101:C102"/>
    <mergeCell ref="C96:C97"/>
    <mergeCell ref="D96:D97"/>
    <mergeCell ref="B180:B181"/>
    <mergeCell ref="G186:G187"/>
    <mergeCell ref="D186:D187"/>
    <mergeCell ref="C186:C187"/>
    <mergeCell ref="B186:B187"/>
    <mergeCell ref="G101:G102"/>
    <mergeCell ref="D168:D169"/>
    <mergeCell ref="C168:C169"/>
    <mergeCell ref="B168:B169"/>
    <mergeCell ref="C133:C134"/>
    <mergeCell ref="B133:B134"/>
    <mergeCell ref="B121:B122"/>
    <mergeCell ref="I193:I194"/>
    <mergeCell ref="I213:I214"/>
    <mergeCell ref="D313:D314"/>
    <mergeCell ref="G265:G266"/>
    <mergeCell ref="G193:G194"/>
    <mergeCell ref="D193:D194"/>
    <mergeCell ref="G199:G200"/>
    <mergeCell ref="D199:D200"/>
    <mergeCell ref="H227:H228"/>
    <mergeCell ref="B222:H222"/>
    <mergeCell ref="D227:D228"/>
    <mergeCell ref="C193:C194"/>
    <mergeCell ref="B193:B194"/>
    <mergeCell ref="C199:C200"/>
    <mergeCell ref="B199:B200"/>
    <mergeCell ref="C227:C228"/>
    <mergeCell ref="A180:A181"/>
    <mergeCell ref="G121:G122"/>
    <mergeCell ref="B273:B274"/>
    <mergeCell ref="C265:C266"/>
    <mergeCell ref="D265:D266"/>
    <mergeCell ref="B265:B266"/>
    <mergeCell ref="D248:D250"/>
    <mergeCell ref="C248:C250"/>
    <mergeCell ref="B248:B250"/>
    <mergeCell ref="C263:H263"/>
    <mergeCell ref="C218:H218"/>
    <mergeCell ref="G227:G228"/>
    <mergeCell ref="H121:H122"/>
    <mergeCell ref="D121:D122"/>
    <mergeCell ref="C204:H204"/>
    <mergeCell ref="C210:H210"/>
    <mergeCell ref="G158:G159"/>
    <mergeCell ref="H158:H159"/>
    <mergeCell ref="H180:H181"/>
    <mergeCell ref="H129:H130"/>
    <mergeCell ref="G133:G134"/>
    <mergeCell ref="D133:D134"/>
    <mergeCell ref="G180:G181"/>
    <mergeCell ref="D180:D181"/>
    <mergeCell ref="B227:B228"/>
    <mergeCell ref="A227:A228"/>
    <mergeCell ref="C225:G225"/>
    <mergeCell ref="C224:G224"/>
    <mergeCell ref="A186:A187"/>
    <mergeCell ref="A193:A194"/>
    <mergeCell ref="A199:A200"/>
    <mergeCell ref="A158:A159"/>
    <mergeCell ref="A168:A169"/>
    <mergeCell ref="G168:G169"/>
    <mergeCell ref="A162:A163"/>
    <mergeCell ref="A195:A196"/>
    <mergeCell ref="B195:B196"/>
    <mergeCell ref="C195:C196"/>
    <mergeCell ref="D195:D196"/>
    <mergeCell ref="G195:G196"/>
    <mergeCell ref="C191:C192"/>
    <mergeCell ref="B191:B192"/>
    <mergeCell ref="A191:A192"/>
    <mergeCell ref="G213:G214"/>
    <mergeCell ref="D213:D214"/>
    <mergeCell ref="C213:C214"/>
    <mergeCell ref="B213:B214"/>
    <mergeCell ref="A213:A214"/>
    <mergeCell ref="H168:H169"/>
    <mergeCell ref="B158:B159"/>
    <mergeCell ref="D158:D159"/>
    <mergeCell ref="G145:G146"/>
    <mergeCell ref="H145:H146"/>
    <mergeCell ref="D145:D146"/>
    <mergeCell ref="C145:C146"/>
    <mergeCell ref="B145:B146"/>
    <mergeCell ref="G162:G163"/>
    <mergeCell ref="B162:B163"/>
    <mergeCell ref="C162:C163"/>
    <mergeCell ref="D162:D163"/>
    <mergeCell ref="C158:C159"/>
    <mergeCell ref="C165:H165"/>
    <mergeCell ref="A145:A146"/>
    <mergeCell ref="G149:G150"/>
    <mergeCell ref="D149:D150"/>
    <mergeCell ref="C149:C150"/>
    <mergeCell ref="B149:B150"/>
    <mergeCell ref="A149:A150"/>
    <mergeCell ref="G125:G126"/>
    <mergeCell ref="D125:D126"/>
    <mergeCell ref="C125:C126"/>
    <mergeCell ref="B125:B126"/>
    <mergeCell ref="A125:A126"/>
    <mergeCell ref="G127:G128"/>
    <mergeCell ref="D127:D128"/>
    <mergeCell ref="C127:C128"/>
    <mergeCell ref="B127:B128"/>
    <mergeCell ref="A127:A128"/>
    <mergeCell ref="A133:A134"/>
    <mergeCell ref="G131:G132"/>
    <mergeCell ref="D131:D132"/>
    <mergeCell ref="C131:C132"/>
    <mergeCell ref="A131:A132"/>
    <mergeCell ref="A129:A130"/>
    <mergeCell ref="A142:A143"/>
    <mergeCell ref="A121:A122"/>
    <mergeCell ref="A114:A115"/>
    <mergeCell ref="G114:G115"/>
    <mergeCell ref="C114:C115"/>
    <mergeCell ref="D114:D115"/>
    <mergeCell ref="B114:B115"/>
    <mergeCell ref="G116:G118"/>
    <mergeCell ref="C116:C118"/>
    <mergeCell ref="D116:D118"/>
    <mergeCell ref="C121:C122"/>
    <mergeCell ref="B116:B118"/>
    <mergeCell ref="A116:A118"/>
    <mergeCell ref="H109:H110"/>
    <mergeCell ref="D109:D110"/>
    <mergeCell ref="C109:C110"/>
    <mergeCell ref="B109:B110"/>
    <mergeCell ref="A109:A110"/>
    <mergeCell ref="G109:G110"/>
    <mergeCell ref="H114:H115"/>
    <mergeCell ref="H116:H117"/>
    <mergeCell ref="A107:A108"/>
    <mergeCell ref="B107:B108"/>
    <mergeCell ref="C48:C49"/>
    <mergeCell ref="D48:D49"/>
    <mergeCell ref="G48:G49"/>
    <mergeCell ref="A105:A106"/>
    <mergeCell ref="B105:B106"/>
    <mergeCell ref="C86:H86"/>
    <mergeCell ref="C87:H87"/>
    <mergeCell ref="C107:C108"/>
    <mergeCell ref="D107:D108"/>
    <mergeCell ref="G107:G108"/>
    <mergeCell ref="G105:G106"/>
    <mergeCell ref="C105:C106"/>
    <mergeCell ref="D105:D106"/>
    <mergeCell ref="A101:A102"/>
    <mergeCell ref="A90:A92"/>
    <mergeCell ref="B101:B102"/>
    <mergeCell ref="B96:B97"/>
    <mergeCell ref="A96:A97"/>
    <mergeCell ref="G96:G97"/>
    <mergeCell ref="H96:H97"/>
    <mergeCell ref="G72:G73"/>
    <mergeCell ref="A63:A64"/>
    <mergeCell ref="B72:B73"/>
    <mergeCell ref="C72:C73"/>
    <mergeCell ref="A58:A59"/>
    <mergeCell ref="A29:A30"/>
    <mergeCell ref="G41:G42"/>
    <mergeCell ref="A41:A42"/>
    <mergeCell ref="B41:B42"/>
    <mergeCell ref="C41:C42"/>
    <mergeCell ref="D41:D42"/>
    <mergeCell ref="G43:G45"/>
    <mergeCell ref="A43:A45"/>
    <mergeCell ref="B43:B45"/>
    <mergeCell ref="C43:C45"/>
    <mergeCell ref="D43:D45"/>
    <mergeCell ref="G34:G35"/>
    <mergeCell ref="A50:A52"/>
    <mergeCell ref="B50:B52"/>
    <mergeCell ref="C50:C52"/>
    <mergeCell ref="D50:D52"/>
    <mergeCell ref="A39:A40"/>
    <mergeCell ref="B39:B40"/>
    <mergeCell ref="C39:C40"/>
    <mergeCell ref="D39:D40"/>
    <mergeCell ref="G39:G40"/>
    <mergeCell ref="A48:A49"/>
    <mergeCell ref="B48:B49"/>
    <mergeCell ref="C17:G17"/>
    <mergeCell ref="H27:H28"/>
    <mergeCell ref="C29:C30"/>
    <mergeCell ref="D29:D30"/>
    <mergeCell ref="G29:G30"/>
    <mergeCell ref="D34:D35"/>
    <mergeCell ref="B29:B30"/>
    <mergeCell ref="H29:H30"/>
    <mergeCell ref="A34:A35"/>
    <mergeCell ref="B34:B35"/>
    <mergeCell ref="C34:C35"/>
    <mergeCell ref="H34:H35"/>
    <mergeCell ref="G27:G28"/>
    <mergeCell ref="G25:G26"/>
    <mergeCell ref="A25:A26"/>
    <mergeCell ref="A27:A28"/>
    <mergeCell ref="B25:B26"/>
    <mergeCell ref="C25:C26"/>
    <mergeCell ref="D25:D26"/>
    <mergeCell ref="A1:H1"/>
    <mergeCell ref="H2:H3"/>
    <mergeCell ref="A2:A3"/>
    <mergeCell ref="B2:B3"/>
    <mergeCell ref="C2:D2"/>
    <mergeCell ref="E2:E3"/>
    <mergeCell ref="F2:F3"/>
    <mergeCell ref="G2:G3"/>
    <mergeCell ref="H8:H9"/>
    <mergeCell ref="A8:A9"/>
    <mergeCell ref="C8:C9"/>
    <mergeCell ref="D8:D9"/>
    <mergeCell ref="B8:B9"/>
    <mergeCell ref="G8:G9"/>
    <mergeCell ref="A6:A7"/>
    <mergeCell ref="B6:B7"/>
    <mergeCell ref="C6:C7"/>
    <mergeCell ref="D6:D7"/>
    <mergeCell ref="A248:A250"/>
    <mergeCell ref="G253:G254"/>
    <mergeCell ref="D253:D254"/>
    <mergeCell ref="C253:C254"/>
    <mergeCell ref="B253:B254"/>
    <mergeCell ref="A253:A254"/>
    <mergeCell ref="A256:A257"/>
    <mergeCell ref="B256:B257"/>
    <mergeCell ref="C256:C257"/>
    <mergeCell ref="D256:D257"/>
    <mergeCell ref="G256:G257"/>
    <mergeCell ref="G248:G250"/>
    <mergeCell ref="H265:H266"/>
    <mergeCell ref="G269:G270"/>
    <mergeCell ref="D269:D270"/>
    <mergeCell ref="C269:C270"/>
    <mergeCell ref="B269:B270"/>
    <mergeCell ref="A269:A270"/>
    <mergeCell ref="G273:G274"/>
    <mergeCell ref="D273:D274"/>
    <mergeCell ref="A273:A274"/>
    <mergeCell ref="C273:C274"/>
    <mergeCell ref="G366:G367"/>
    <mergeCell ref="D366:D367"/>
    <mergeCell ref="C366:C367"/>
    <mergeCell ref="B366:B367"/>
    <mergeCell ref="A366:A367"/>
    <mergeCell ref="C295:H295"/>
    <mergeCell ref="C313:C314"/>
    <mergeCell ref="B313:B314"/>
    <mergeCell ref="A313:A314"/>
    <mergeCell ref="G317:G318"/>
    <mergeCell ref="C317:C318"/>
    <mergeCell ref="D317:D318"/>
    <mergeCell ref="B317:B318"/>
    <mergeCell ref="A317:A318"/>
    <mergeCell ref="G313:G314"/>
    <mergeCell ref="G338:G339"/>
    <mergeCell ref="D338:D339"/>
    <mergeCell ref="G321:G322"/>
    <mergeCell ref="D321:D322"/>
    <mergeCell ref="A369:A370"/>
    <mergeCell ref="C384:H384"/>
    <mergeCell ref="B437:B438"/>
    <mergeCell ref="B409:B410"/>
    <mergeCell ref="A409:A410"/>
    <mergeCell ref="G437:G438"/>
    <mergeCell ref="D437:D438"/>
    <mergeCell ref="G386:G387"/>
    <mergeCell ref="B386:B387"/>
    <mergeCell ref="A386:A387"/>
    <mergeCell ref="C386:C387"/>
    <mergeCell ref="D386:D387"/>
    <mergeCell ref="A392:A394"/>
    <mergeCell ref="C369:G370"/>
    <mergeCell ref="C371:G371"/>
    <mergeCell ref="G392:G394"/>
    <mergeCell ref="D392:D394"/>
    <mergeCell ref="C392:C394"/>
    <mergeCell ref="B392:B394"/>
    <mergeCell ref="C437:C438"/>
    <mergeCell ref="D430:D431"/>
    <mergeCell ref="C430:C431"/>
    <mergeCell ref="G428:G429"/>
    <mergeCell ref="D428:D429"/>
    <mergeCell ref="C428:C429"/>
    <mergeCell ref="B428:B429"/>
    <mergeCell ref="G417:G418"/>
    <mergeCell ref="D417:D418"/>
    <mergeCell ref="G430:G431"/>
    <mergeCell ref="B430:B431"/>
    <mergeCell ref="C417:C418"/>
    <mergeCell ref="B417:B418"/>
    <mergeCell ref="C403:H403"/>
    <mergeCell ref="C404:H404"/>
    <mergeCell ref="G421:G422"/>
    <mergeCell ref="G423:G424"/>
    <mergeCell ref="C409:C410"/>
    <mergeCell ref="B421:B422"/>
    <mergeCell ref="G409:G410"/>
    <mergeCell ref="D409:D410"/>
    <mergeCell ref="I58:I59"/>
    <mergeCell ref="I340:I341"/>
    <mergeCell ref="C258:G258"/>
    <mergeCell ref="C338:C339"/>
    <mergeCell ref="B338:B339"/>
    <mergeCell ref="B131:B132"/>
    <mergeCell ref="G129:G130"/>
    <mergeCell ref="B129:B130"/>
    <mergeCell ref="C129:C130"/>
    <mergeCell ref="D129:D130"/>
    <mergeCell ref="G142:G143"/>
    <mergeCell ref="D142:D143"/>
    <mergeCell ref="C142:C143"/>
    <mergeCell ref="B142:B143"/>
    <mergeCell ref="I149:I150"/>
    <mergeCell ref="B369:B370"/>
    <mergeCell ref="A265:A266"/>
    <mergeCell ref="A338:A339"/>
    <mergeCell ref="G340:G341"/>
    <mergeCell ref="D340:D341"/>
    <mergeCell ref="C340:C341"/>
    <mergeCell ref="B340:B341"/>
    <mergeCell ref="A340:A341"/>
    <mergeCell ref="C333:G333"/>
    <mergeCell ref="C321:C322"/>
    <mergeCell ref="B321:B322"/>
    <mergeCell ref="A321:A322"/>
    <mergeCell ref="G277:G278"/>
    <mergeCell ref="D277:D278"/>
    <mergeCell ref="C277:C278"/>
    <mergeCell ref="B277:B278"/>
    <mergeCell ref="A232:A233"/>
    <mergeCell ref="B232:B233"/>
    <mergeCell ref="C232:C233"/>
    <mergeCell ref="D232:D233"/>
    <mergeCell ref="G232:G233"/>
    <mergeCell ref="G237:G238"/>
    <mergeCell ref="D237:D238"/>
    <mergeCell ref="C237:C238"/>
    <mergeCell ref="B237:B238"/>
    <mergeCell ref="A237:A238"/>
    <mergeCell ref="G348:G349"/>
    <mergeCell ref="D348:D349"/>
    <mergeCell ref="C348:C349"/>
    <mergeCell ref="B348:B349"/>
    <mergeCell ref="A348:A349"/>
    <mergeCell ref="I348:I349"/>
    <mergeCell ref="A277:A278"/>
    <mergeCell ref="G279:G280"/>
    <mergeCell ref="A279:A280"/>
    <mergeCell ref="B279:B280"/>
    <mergeCell ref="C279:C280"/>
    <mergeCell ref="D279:D280"/>
    <mergeCell ref="G433:G434"/>
    <mergeCell ref="D433:D434"/>
    <mergeCell ref="C433:C434"/>
    <mergeCell ref="A430:A431"/>
    <mergeCell ref="C353:C354"/>
    <mergeCell ref="C355:C356"/>
    <mergeCell ref="B351:B352"/>
    <mergeCell ref="B353:B354"/>
    <mergeCell ref="B355:B356"/>
    <mergeCell ref="A351:A352"/>
    <mergeCell ref="A353:A354"/>
    <mergeCell ref="A355:A356"/>
    <mergeCell ref="G359:G360"/>
    <mergeCell ref="D359:D360"/>
    <mergeCell ref="C359:C360"/>
    <mergeCell ref="B359:B360"/>
    <mergeCell ref="A359:A360"/>
    <mergeCell ref="G351:G352"/>
    <mergeCell ref="G353:G354"/>
    <mergeCell ref="G355:G356"/>
    <mergeCell ref="D351:D352"/>
    <mergeCell ref="D353:D354"/>
    <mergeCell ref="D355:D356"/>
    <mergeCell ref="C351:C352"/>
    <mergeCell ref="A421:A422"/>
    <mergeCell ref="A423:A424"/>
    <mergeCell ref="B423:B424"/>
    <mergeCell ref="C421:C422"/>
    <mergeCell ref="C423:C424"/>
    <mergeCell ref="D421:D422"/>
    <mergeCell ref="D423:D424"/>
    <mergeCell ref="A417:A418"/>
    <mergeCell ref="I439:I440"/>
    <mergeCell ref="I428:I429"/>
    <mergeCell ref="G426:G427"/>
    <mergeCell ref="D426:D427"/>
    <mergeCell ref="C426:C427"/>
    <mergeCell ref="B426:B427"/>
    <mergeCell ref="A426:A427"/>
    <mergeCell ref="G439:G440"/>
    <mergeCell ref="A439:A440"/>
    <mergeCell ref="B439:B440"/>
    <mergeCell ref="C439:C440"/>
    <mergeCell ref="D439:D440"/>
    <mergeCell ref="A437:A438"/>
    <mergeCell ref="A433:A434"/>
    <mergeCell ref="B433:B434"/>
    <mergeCell ref="A428:A429"/>
    <mergeCell ref="G188:G189"/>
    <mergeCell ref="A188:A189"/>
    <mergeCell ref="B188:B189"/>
    <mergeCell ref="C188:C189"/>
    <mergeCell ref="D188:D189"/>
    <mergeCell ref="A202:A203"/>
    <mergeCell ref="B202:B203"/>
    <mergeCell ref="C202:C203"/>
    <mergeCell ref="D202:D203"/>
    <mergeCell ref="G202:G203"/>
  </mergeCells>
  <pageMargins left="0.70866141732283472" right="0.70866141732283472" top="0.74803149606299213" bottom="0.74803149606299213" header="0.31496062992125984" footer="0.31496062992125984"/>
  <pageSetup paperSize="9" scale="64" fitToHeight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2" workbookViewId="0">
      <selection activeCell="E15" sqref="E15"/>
    </sheetView>
  </sheetViews>
  <sheetFormatPr defaultRowHeight="15"/>
  <cols>
    <col min="1" max="1" width="13" customWidth="1"/>
    <col min="2" max="2" width="52.7109375" customWidth="1"/>
  </cols>
  <sheetData>
    <row r="1" spans="1:5">
      <c r="A1" s="651" t="s">
        <v>347</v>
      </c>
      <c r="B1" s="651" t="s">
        <v>348</v>
      </c>
      <c r="E1" s="158"/>
    </row>
    <row r="2" spans="1:5">
      <c r="A2" s="651"/>
      <c r="B2" s="651"/>
    </row>
    <row r="3" spans="1:5" ht="18.75" customHeight="1">
      <c r="A3" s="146">
        <v>16</v>
      </c>
      <c r="B3" s="153" t="s">
        <v>330</v>
      </c>
    </row>
    <row r="4" spans="1:5" ht="15.75">
      <c r="A4" s="146">
        <v>73</v>
      </c>
      <c r="B4" s="153" t="s">
        <v>65</v>
      </c>
    </row>
    <row r="5" spans="1:5" ht="15.75">
      <c r="A5" s="146">
        <v>341</v>
      </c>
      <c r="B5" s="153" t="s">
        <v>283</v>
      </c>
      <c r="C5" t="s">
        <v>343</v>
      </c>
    </row>
    <row r="6" spans="1:5" ht="15" customHeight="1">
      <c r="A6" s="146">
        <v>152</v>
      </c>
      <c r="B6" s="153" t="s">
        <v>130</v>
      </c>
    </row>
    <row r="7" spans="1:5" ht="15.75">
      <c r="A7" s="134">
        <v>151</v>
      </c>
      <c r="B7" s="153" t="s">
        <v>129</v>
      </c>
    </row>
    <row r="8" spans="1:5" ht="15.75">
      <c r="A8" s="152"/>
      <c r="B8" s="153" t="s">
        <v>344</v>
      </c>
    </row>
    <row r="9" spans="1:5" ht="19.5" customHeight="1">
      <c r="A9" s="146">
        <v>242</v>
      </c>
      <c r="B9" s="153" t="s">
        <v>203</v>
      </c>
    </row>
    <row r="10" spans="1:5" ht="15.75">
      <c r="A10" s="146">
        <v>232</v>
      </c>
      <c r="B10" s="153" t="s">
        <v>195</v>
      </c>
    </row>
    <row r="11" spans="1:5" ht="15" customHeight="1">
      <c r="A11" s="146">
        <v>233</v>
      </c>
      <c r="B11" s="153" t="s">
        <v>300</v>
      </c>
      <c r="C11" t="s">
        <v>343</v>
      </c>
    </row>
    <row r="12" spans="1:5" ht="15.75">
      <c r="A12" s="146">
        <v>255</v>
      </c>
      <c r="B12" s="154" t="s">
        <v>213</v>
      </c>
    </row>
    <row r="13" spans="1:5" ht="15.75">
      <c r="A13" s="146">
        <v>113</v>
      </c>
      <c r="B13" s="153" t="s">
        <v>95</v>
      </c>
    </row>
    <row r="14" spans="1:5" ht="15" customHeight="1">
      <c r="A14" s="159">
        <v>112</v>
      </c>
      <c r="B14" s="160" t="s">
        <v>94</v>
      </c>
    </row>
    <row r="15" spans="1:5" ht="15" customHeight="1">
      <c r="A15" s="146">
        <v>326</v>
      </c>
      <c r="B15" s="153" t="s">
        <v>77</v>
      </c>
    </row>
    <row r="16" spans="1:5" ht="15.75">
      <c r="A16" s="147">
        <v>17</v>
      </c>
      <c r="B16" s="155" t="s">
        <v>17</v>
      </c>
    </row>
    <row r="17" spans="1:2" ht="15" customHeight="1">
      <c r="A17" s="148" t="s">
        <v>345</v>
      </c>
      <c r="B17" s="156" t="s">
        <v>18</v>
      </c>
    </row>
    <row r="18" spans="1:2" ht="15" customHeight="1">
      <c r="A18" s="146">
        <v>114</v>
      </c>
      <c r="B18" s="153" t="s">
        <v>96</v>
      </c>
    </row>
    <row r="19" spans="1:2" ht="15" customHeight="1">
      <c r="A19" s="147">
        <v>137</v>
      </c>
      <c r="B19" s="157" t="s">
        <v>116</v>
      </c>
    </row>
    <row r="20" spans="1:2" ht="15.75">
      <c r="A20" s="146">
        <v>174</v>
      </c>
      <c r="B20" s="153" t="s">
        <v>149</v>
      </c>
    </row>
    <row r="21" spans="1:2" ht="15.75">
      <c r="A21" s="146">
        <v>173</v>
      </c>
      <c r="B21" s="153" t="s">
        <v>148</v>
      </c>
    </row>
    <row r="22" spans="1:2" ht="15.75">
      <c r="A22" s="146">
        <v>317</v>
      </c>
      <c r="B22" s="154" t="s">
        <v>266</v>
      </c>
    </row>
    <row r="23" spans="1:2" ht="15.75">
      <c r="A23" s="152"/>
      <c r="B23" s="161" t="s">
        <v>346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4" sqref="A24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2024-08-09T09:52:03Z</dcterms:modified>
</cp:coreProperties>
</file>