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E502" i="1" l="1"/>
  <c r="G446" i="1"/>
  <c r="D378" i="1"/>
  <c r="H369" i="1"/>
  <c r="D369" i="1"/>
  <c r="H384" i="1"/>
  <c r="E385" i="1"/>
  <c r="D384" i="1"/>
  <c r="H275" i="1"/>
  <c r="D275" i="1"/>
  <c r="E204" i="1"/>
  <c r="H126" i="1"/>
  <c r="G122" i="1"/>
  <c r="G39" i="1"/>
  <c r="E37" i="1"/>
  <c r="E25" i="1"/>
  <c r="D22" i="1"/>
  <c r="E22" i="1" s="1"/>
  <c r="G22" i="1" s="1"/>
  <c r="D23" i="1"/>
  <c r="E510" i="1"/>
  <c r="E508" i="1"/>
  <c r="E504" i="1"/>
  <c r="E492" i="1"/>
  <c r="E490" i="1"/>
  <c r="E483" i="1"/>
  <c r="E481" i="1"/>
  <c r="E476" i="1"/>
  <c r="E464" i="1"/>
  <c r="E461" i="1"/>
  <c r="E455" i="1"/>
  <c r="E448" i="1"/>
  <c r="E441" i="1"/>
  <c r="E439" i="1"/>
  <c r="E437" i="1"/>
  <c r="E424" i="1"/>
  <c r="E422" i="1"/>
  <c r="E420" i="1"/>
  <c r="E417" i="1"/>
  <c r="E409" i="1"/>
  <c r="E402" i="1"/>
  <c r="E400" i="1"/>
  <c r="E396" i="1"/>
  <c r="E389" i="1"/>
  <c r="E387" i="1"/>
  <c r="E382" i="1"/>
  <c r="E373" i="1"/>
  <c r="E368" i="1"/>
  <c r="E357" i="1"/>
  <c r="E353" i="1"/>
  <c r="E350" i="1"/>
  <c r="E348" i="1"/>
  <c r="C345" i="1"/>
  <c r="E344" i="1"/>
  <c r="E341" i="1"/>
  <c r="E333" i="1"/>
  <c r="E331" i="1"/>
  <c r="E328" i="1"/>
  <c r="E325" i="1"/>
  <c r="E319" i="1"/>
  <c r="E312" i="1"/>
  <c r="E306" i="1"/>
  <c r="E301" i="1"/>
  <c r="E297" i="1"/>
  <c r="E289" i="1"/>
  <c r="E278" i="1"/>
  <c r="C277" i="1"/>
  <c r="E272" i="1"/>
  <c r="E270" i="1"/>
  <c r="E261" i="1"/>
  <c r="E257" i="1"/>
  <c r="E251" i="1"/>
  <c r="E244" i="1" l="1"/>
  <c r="E222" i="1"/>
  <c r="E218" i="1"/>
  <c r="E214" i="1"/>
  <c r="E209" i="1"/>
  <c r="E194" i="1"/>
  <c r="E192" i="1"/>
  <c r="E190" i="1"/>
  <c r="E188" i="1"/>
  <c r="E185" i="1"/>
  <c r="E174" i="1"/>
  <c r="E166" i="1"/>
  <c r="E164" i="1"/>
  <c r="E162" i="1"/>
  <c r="E158" i="1"/>
  <c r="E154" i="1"/>
  <c r="E151" i="1"/>
  <c r="E149" i="1"/>
  <c r="E143" i="1"/>
  <c r="E138" i="1"/>
  <c r="E132" i="1"/>
  <c r="E129" i="1"/>
  <c r="E124" i="1"/>
  <c r="E120" i="1"/>
  <c r="E117" i="1"/>
  <c r="E111" i="1"/>
  <c r="E107" i="1"/>
  <c r="E105" i="1"/>
  <c r="E101" i="1"/>
  <c r="E99" i="1"/>
  <c r="E95" i="1"/>
  <c r="E93" i="1"/>
  <c r="E91" i="1"/>
  <c r="E88" i="1"/>
  <c r="E80" i="1"/>
  <c r="E77" i="1"/>
  <c r="E74" i="1"/>
  <c r="E71" i="1"/>
  <c r="E68" i="1"/>
  <c r="E65" i="1"/>
  <c r="E61" i="1"/>
  <c r="E57" i="1"/>
  <c r="E54" i="1"/>
  <c r="E52" i="1"/>
  <c r="E35" i="1"/>
  <c r="E19" i="1"/>
  <c r="E16" i="1"/>
  <c r="E14" i="1"/>
  <c r="E12" i="1"/>
  <c r="E8" i="1"/>
  <c r="H186" i="1" l="1"/>
  <c r="D186" i="1"/>
  <c r="D119" i="1"/>
  <c r="D170" i="1" l="1"/>
  <c r="E170" i="1" s="1"/>
  <c r="H323" i="1"/>
  <c r="D323" i="1"/>
  <c r="H480" i="1"/>
  <c r="D380" i="1"/>
  <c r="D480" i="1"/>
  <c r="D449" i="1"/>
  <c r="H451" i="1"/>
  <c r="D451" i="1"/>
  <c r="D447" i="1"/>
  <c r="H447" i="1"/>
  <c r="H393" i="1"/>
  <c r="D393" i="1"/>
  <c r="H213" i="1"/>
  <c r="D213" i="1"/>
  <c r="D408" i="1" l="1"/>
  <c r="D438" i="1" l="1"/>
  <c r="H131" i="1"/>
  <c r="D131" i="1"/>
  <c r="H64" i="1" l="1"/>
  <c r="D64" i="1"/>
  <c r="H78" i="1"/>
  <c r="D78" i="1"/>
  <c r="H394" i="1"/>
  <c r="D394" i="1"/>
  <c r="H173" i="1"/>
  <c r="D173" i="1"/>
  <c r="H438" i="1"/>
  <c r="H375" i="1" l="1"/>
  <c r="D375" i="1"/>
  <c r="D45" i="1"/>
  <c r="H243" i="1"/>
  <c r="D243" i="1"/>
  <c r="D191" i="1"/>
  <c r="D193" i="1"/>
  <c r="H232" i="1" l="1"/>
  <c r="D232" i="1"/>
  <c r="H296" i="1" l="1"/>
  <c r="D296" i="1"/>
  <c r="H51" i="1"/>
  <c r="D51" i="1"/>
  <c r="H75" i="1"/>
  <c r="D75" i="1"/>
  <c r="D11" i="1"/>
  <c r="D304" i="1"/>
  <c r="D446" i="1"/>
  <c r="D364" i="1"/>
  <c r="H408" i="1"/>
  <c r="D377" i="1"/>
  <c r="D488" i="1"/>
  <c r="H503" i="1"/>
  <c r="D503" i="1"/>
  <c r="H354" i="1"/>
  <c r="D354" i="1"/>
  <c r="D465" i="1"/>
  <c r="D28" i="1"/>
  <c r="H202" i="1"/>
  <c r="D202" i="1"/>
  <c r="H172" i="1"/>
  <c r="D172" i="1"/>
  <c r="D284" i="1"/>
  <c r="D463" i="1"/>
  <c r="D44" i="1"/>
  <c r="D27" i="1"/>
  <c r="H335" i="1"/>
  <c r="D335" i="1"/>
  <c r="D359" i="1"/>
  <c r="D407" i="1"/>
  <c r="H366" i="1"/>
  <c r="D366" i="1"/>
  <c r="H97" i="1"/>
  <c r="D97" i="1"/>
  <c r="D126" i="1" l="1"/>
  <c r="H184" i="1"/>
  <c r="D184" i="1"/>
  <c r="D445" i="1"/>
  <c r="H322" i="1"/>
  <c r="D322" i="1"/>
  <c r="H386" i="1"/>
  <c r="H388" i="1"/>
  <c r="D386" i="1"/>
  <c r="H92" i="1"/>
  <c r="D92" i="1"/>
  <c r="D96" i="1"/>
  <c r="D419" i="1"/>
  <c r="H429" i="1"/>
  <c r="D429" i="1"/>
  <c r="H496" i="1"/>
  <c r="D496" i="1"/>
  <c r="D478" i="1"/>
  <c r="H4" i="1"/>
  <c r="D4" i="1"/>
  <c r="H121" i="1"/>
  <c r="D121" i="1"/>
  <c r="D457" i="1"/>
  <c r="D342" i="1"/>
  <c r="H268" i="1"/>
  <c r="D268" i="1"/>
  <c r="D108" i="1"/>
  <c r="D169" i="1"/>
  <c r="D137" i="1"/>
  <c r="D276" i="1"/>
  <c r="D501" i="1"/>
  <c r="D262" i="1"/>
  <c r="D207" i="1"/>
  <c r="D413" i="1"/>
  <c r="D224" i="1"/>
  <c r="D450" i="1"/>
  <c r="D203" i="1"/>
  <c r="D246" i="1" l="1"/>
  <c r="E237" i="1"/>
  <c r="H189" i="1" l="1"/>
  <c r="D189" i="1"/>
  <c r="H482" i="1"/>
  <c r="D482" i="1"/>
  <c r="H313" i="1" l="1"/>
  <c r="D313" i="1"/>
  <c r="E307" i="1"/>
  <c r="D305" i="1"/>
  <c r="D128" i="1"/>
  <c r="D177" i="1"/>
  <c r="H399" i="1"/>
  <c r="D399" i="1"/>
  <c r="H367" i="1"/>
  <c r="D367" i="1"/>
  <c r="D315" i="1"/>
  <c r="H318" i="1"/>
  <c r="D318" i="1"/>
  <c r="D69" i="1" l="1"/>
  <c r="H456" i="1"/>
  <c r="D456" i="1"/>
  <c r="D72" i="1"/>
  <c r="H60" i="1"/>
  <c r="D60" i="1"/>
  <c r="D317" i="1"/>
  <c r="H103" i="1"/>
  <c r="D103" i="1"/>
  <c r="H489" i="1"/>
  <c r="D489" i="1"/>
  <c r="D49" i="1"/>
  <c r="H376" i="1"/>
  <c r="D376" i="1"/>
  <c r="D210" i="1"/>
  <c r="H98" i="1" l="1"/>
  <c r="D98" i="1"/>
  <c r="H33" i="1"/>
  <c r="D33" i="1"/>
  <c r="E506" i="1" l="1"/>
  <c r="H253" i="1" l="1"/>
  <c r="D253" i="1"/>
  <c r="H161" i="1"/>
  <c r="D161" i="1"/>
  <c r="D337" i="1"/>
  <c r="D233" i="1" l="1"/>
  <c r="D299" i="1"/>
  <c r="H32" i="1"/>
  <c r="D32" i="1"/>
  <c r="H361" i="1" l="1"/>
  <c r="H362" i="1"/>
  <c r="H324" i="1" l="1"/>
  <c r="G324" i="1" s="1"/>
  <c r="D343" i="1"/>
  <c r="E457" i="1" l="1"/>
  <c r="G457" i="1" s="1"/>
  <c r="D361" i="1" l="1"/>
  <c r="D327" i="1"/>
  <c r="D427" i="1"/>
  <c r="G184" i="1"/>
  <c r="D497" i="1"/>
  <c r="D48" i="1"/>
  <c r="H241" i="1"/>
  <c r="D241" i="1"/>
  <c r="D229" i="1"/>
  <c r="H308" i="1" l="1"/>
  <c r="H269" i="1"/>
  <c r="G58" i="1"/>
  <c r="E512" i="1"/>
  <c r="D388" i="1"/>
  <c r="G269" i="1"/>
  <c r="D269" i="1"/>
  <c r="D324" i="1" l="1"/>
  <c r="D245" i="1"/>
  <c r="D434" i="1" l="1"/>
  <c r="D220" i="1"/>
  <c r="H495" i="1"/>
  <c r="D495" i="1"/>
  <c r="D228" i="1"/>
  <c r="D428" i="1"/>
  <c r="D345" i="1"/>
  <c r="G98" i="1"/>
  <c r="H358" i="1"/>
  <c r="D358" i="1"/>
  <c r="H114" i="1" l="1"/>
  <c r="D114" i="1"/>
  <c r="D211" i="1"/>
  <c r="H125" i="1" l="1"/>
  <c r="D125" i="1"/>
  <c r="E125" i="1" s="1"/>
  <c r="H207" i="1" l="1"/>
  <c r="G447" i="1" l="1"/>
  <c r="H163" i="1" l="1"/>
  <c r="G163" i="1" s="1"/>
  <c r="D163" i="1"/>
  <c r="D332" i="1"/>
  <c r="D466" i="1"/>
  <c r="D433" i="1" l="1"/>
  <c r="D5" i="1"/>
  <c r="H462" i="1"/>
  <c r="D462" i="1"/>
  <c r="D460" i="1"/>
  <c r="E240" i="1"/>
  <c r="D239" i="1"/>
  <c r="D362" i="1"/>
  <c r="H282" i="1"/>
  <c r="D282" i="1"/>
  <c r="D493" i="1"/>
  <c r="H365" i="1" l="1"/>
  <c r="H273" i="1"/>
  <c r="H89" i="1"/>
  <c r="D444" i="1" l="1"/>
  <c r="D423" i="1"/>
  <c r="E225" i="1" l="1"/>
  <c r="E198" i="1"/>
  <c r="G157" i="1" l="1"/>
  <c r="G161" i="1" l="1"/>
  <c r="G92" i="1"/>
  <c r="G305" i="1" l="1"/>
  <c r="G511" i="1"/>
  <c r="E274" i="1"/>
  <c r="D273" i="1"/>
  <c r="H110" i="1"/>
  <c r="G110" i="1" s="1"/>
  <c r="D110" i="1"/>
  <c r="H63" i="1"/>
  <c r="H364" i="1" l="1"/>
  <c r="D347" i="1" l="1"/>
  <c r="H260" i="1"/>
  <c r="G260" i="1" s="1"/>
  <c r="D260" i="1"/>
  <c r="D360" i="1"/>
  <c r="H236" i="1" l="1"/>
  <c r="D236" i="1"/>
  <c r="D197" i="1"/>
  <c r="H316" i="1"/>
  <c r="D316" i="1"/>
  <c r="H329" i="1"/>
  <c r="D329" i="1"/>
  <c r="H327" i="1"/>
  <c r="G327" i="1" s="1"/>
  <c r="H345" i="1"/>
  <c r="D308" i="1"/>
  <c r="D300" i="1" l="1"/>
  <c r="D349" i="1"/>
  <c r="D355" i="1"/>
  <c r="D365" i="1" l="1"/>
  <c r="H147" i="1"/>
  <c r="D147" i="1"/>
  <c r="D181" i="1"/>
  <c r="H300" i="1"/>
  <c r="G300" i="1" s="1"/>
  <c r="H463" i="1"/>
  <c r="G463" i="1" s="1"/>
  <c r="H17" i="1"/>
  <c r="E18" i="1"/>
  <c r="D17" i="1"/>
  <c r="D392" i="1"/>
  <c r="D505" i="1"/>
  <c r="H221" i="1"/>
  <c r="G221" i="1" s="1"/>
  <c r="D221" i="1"/>
  <c r="H203" i="1"/>
  <c r="G203" i="1" s="1"/>
  <c r="D265" i="1"/>
  <c r="G11" i="1"/>
  <c r="G355" i="1"/>
  <c r="H109" i="1"/>
  <c r="D109" i="1"/>
  <c r="H284" i="1"/>
  <c r="D302" i="1"/>
  <c r="D279" i="1"/>
  <c r="G408" i="1"/>
  <c r="H507" i="1"/>
  <c r="D507" i="1"/>
  <c r="H509" i="1"/>
  <c r="G509" i="1" s="1"/>
  <c r="D509" i="1"/>
  <c r="H217" i="1"/>
  <c r="D217" i="1"/>
  <c r="D168" i="1"/>
  <c r="D20" i="1"/>
  <c r="G217" i="1" l="1"/>
  <c r="G17" i="1"/>
  <c r="E469" i="1"/>
  <c r="E465" i="1"/>
  <c r="G465" i="1" s="1"/>
  <c r="E391" i="1"/>
  <c r="E235" i="1"/>
  <c r="E220" i="1"/>
  <c r="G220" i="1" s="1"/>
  <c r="E180" i="1"/>
  <c r="G153" i="1"/>
  <c r="E145" i="1"/>
  <c r="E136" i="1"/>
  <c r="E84" i="1"/>
  <c r="E47" i="1"/>
  <c r="D371" i="1" l="1"/>
  <c r="H156" i="1"/>
  <c r="D156" i="1"/>
  <c r="D155" i="1"/>
  <c r="E155" i="1" s="1"/>
  <c r="G155" i="1" s="1"/>
  <c r="D479" i="1"/>
  <c r="D219" i="1"/>
  <c r="H193" i="1"/>
  <c r="H298" i="1" l="1"/>
  <c r="D298" i="1"/>
  <c r="H13" i="1"/>
  <c r="D13" i="1"/>
  <c r="H401" i="1"/>
  <c r="D403" i="1"/>
  <c r="D401" i="1"/>
  <c r="H410" i="1" l="1"/>
  <c r="D410" i="1"/>
  <c r="D374" i="1"/>
  <c r="D390" i="1" l="1"/>
  <c r="H134" i="1"/>
  <c r="D134" i="1"/>
  <c r="H363" i="1"/>
  <c r="D363" i="1"/>
  <c r="D160" i="1"/>
  <c r="E160" i="1" s="1"/>
  <c r="G160" i="1" s="1"/>
  <c r="H340" i="1"/>
  <c r="D340" i="1"/>
  <c r="H370" i="1"/>
  <c r="D370" i="1"/>
  <c r="H281" i="1"/>
  <c r="D281" i="1"/>
  <c r="H67" i="1"/>
  <c r="D67" i="1"/>
  <c r="E364" i="1" l="1"/>
  <c r="G364" i="1" s="1"/>
  <c r="D247" i="1"/>
  <c r="H234" i="1"/>
  <c r="D234" i="1"/>
  <c r="E313" i="1"/>
  <c r="H15" i="1"/>
  <c r="G15" i="1" s="1"/>
  <c r="D15" i="1"/>
  <c r="G313" i="1" l="1"/>
  <c r="D46" i="1"/>
  <c r="D283" i="1"/>
  <c r="H48" i="1"/>
  <c r="E48" i="1"/>
  <c r="G48" i="1" s="1"/>
  <c r="H421" i="1"/>
  <c r="D421" i="1"/>
  <c r="G388" i="1"/>
  <c r="D9" i="1"/>
  <c r="D467" i="1"/>
  <c r="D238" i="1"/>
  <c r="H106" i="1"/>
  <c r="G106" i="1" s="1"/>
  <c r="D106" i="1"/>
  <c r="D10" i="1"/>
  <c r="D200" i="1"/>
  <c r="D94" i="1"/>
  <c r="D292" i="1"/>
  <c r="D115" i="1" l="1"/>
  <c r="E323" i="1"/>
  <c r="E443" i="1"/>
  <c r="E428" i="1"/>
  <c r="G428" i="1" s="1"/>
  <c r="E459" i="1" l="1"/>
  <c r="E31" i="1"/>
  <c r="D412" i="1"/>
  <c r="H55" i="1"/>
  <c r="D55" i="1"/>
  <c r="H263" i="1"/>
  <c r="D263" i="1"/>
  <c r="H419" i="1"/>
  <c r="H395" i="1"/>
  <c r="D395" i="1"/>
  <c r="H208" i="1"/>
  <c r="D208" i="1"/>
  <c r="H491" i="1" l="1"/>
  <c r="G468" i="1" l="1"/>
  <c r="G395" i="1"/>
  <c r="D511" i="1" l="1"/>
  <c r="D491" i="1"/>
  <c r="D513" i="1"/>
  <c r="E513" i="1" s="1"/>
  <c r="D159" i="1"/>
  <c r="G513" i="1" l="1"/>
  <c r="H302" i="1"/>
  <c r="D150" i="1"/>
  <c r="H436" i="1"/>
  <c r="G436" i="1" s="1"/>
  <c r="D436" i="1"/>
  <c r="D171" i="1"/>
  <c r="E171" i="1" s="1"/>
  <c r="G171" i="1" s="1"/>
  <c r="D89" i="1"/>
  <c r="H442" i="1"/>
  <c r="D442" i="1"/>
  <c r="H440" i="1" l="1"/>
  <c r="G440" i="1" s="1"/>
  <c r="D440" i="1"/>
  <c r="H271" i="1"/>
  <c r="D271" i="1"/>
  <c r="H229" i="1"/>
  <c r="H392" i="1"/>
  <c r="E172" i="1"/>
  <c r="G172" i="1" l="1"/>
  <c r="D133" i="1"/>
  <c r="H349" i="1"/>
  <c r="G349" i="1" s="1"/>
  <c r="H320" i="1"/>
  <c r="D320" i="1"/>
  <c r="D475" i="1" l="1"/>
  <c r="G401" i="1" l="1"/>
  <c r="H470" i="1" l="1"/>
  <c r="D470" i="1"/>
  <c r="D100" i="1"/>
  <c r="D468" i="1"/>
  <c r="H94" i="1" l="1"/>
  <c r="E140" i="1" l="1"/>
  <c r="G76" i="1"/>
  <c r="H82" i="1" l="1"/>
  <c r="D146" i="1" l="1"/>
  <c r="E146" i="1" s="1"/>
  <c r="G146" i="1" s="1"/>
  <c r="H444" i="1"/>
  <c r="H452" i="1"/>
  <c r="D452" i="1"/>
  <c r="E452" i="1" s="1"/>
  <c r="E279" i="1"/>
  <c r="G279" i="1" s="1"/>
  <c r="G452" i="1" l="1"/>
  <c r="D102" i="1"/>
  <c r="E102" i="1" s="1"/>
  <c r="G102" i="1" s="1"/>
  <c r="H142" i="1"/>
  <c r="D142" i="1"/>
  <c r="E467" i="1"/>
  <c r="G467" i="1" s="1"/>
  <c r="H128" i="1"/>
  <c r="G128" i="1" s="1"/>
  <c r="E345" i="1"/>
  <c r="G345" i="1" l="1"/>
  <c r="D227" i="1"/>
  <c r="E227" i="1" s="1"/>
  <c r="H352" i="1"/>
  <c r="G352" i="1" s="1"/>
  <c r="D352" i="1"/>
  <c r="H9" i="1"/>
  <c r="H390" i="1"/>
  <c r="D277" i="1" l="1"/>
  <c r="G277" i="1" l="1"/>
  <c r="E96" i="1" l="1"/>
  <c r="G96" i="1" s="1"/>
  <c r="E361" i="1"/>
  <c r="G361" i="1" l="1"/>
  <c r="H342" i="1"/>
  <c r="E450" i="1"/>
  <c r="G450" i="1" s="1"/>
  <c r="H501" i="1" l="1"/>
  <c r="D498" i="1"/>
  <c r="D258" i="1" l="1"/>
  <c r="E258" i="1" s="1"/>
  <c r="G258" i="1" s="1"/>
  <c r="D199" i="1"/>
  <c r="E199" i="1" s="1"/>
  <c r="G199" i="1" s="1"/>
  <c r="H413" i="1" l="1"/>
  <c r="G116" i="1"/>
  <c r="E351" i="1" l="1"/>
  <c r="E114" i="1" l="1"/>
  <c r="G114" i="1" s="1"/>
  <c r="H256" i="1"/>
  <c r="D256" i="1"/>
  <c r="D454" i="1"/>
  <c r="E255" i="1" l="1"/>
  <c r="H415" i="1" l="1"/>
  <c r="D415" i="1"/>
  <c r="E415" i="1" s="1"/>
  <c r="H484" i="1"/>
  <c r="D484" i="1"/>
  <c r="E484" i="1" s="1"/>
  <c r="E413" i="1"/>
  <c r="H311" i="1"/>
  <c r="D311" i="1"/>
  <c r="H119" i="1"/>
  <c r="G484" i="1" l="1"/>
  <c r="G415" i="1"/>
  <c r="D6" i="1"/>
  <c r="E156" i="1" l="1"/>
  <c r="G156" i="1" s="1"/>
  <c r="D416" i="1"/>
  <c r="E247" i="1"/>
  <c r="D212" i="1" l="1"/>
  <c r="D418" i="1"/>
  <c r="E418" i="1" s="1"/>
  <c r="G418" i="1" s="1"/>
  <c r="E115" i="1"/>
  <c r="G115" i="1" s="1"/>
  <c r="H137" i="1"/>
  <c r="G137" i="1" s="1"/>
  <c r="H411" i="1"/>
  <c r="D411" i="1"/>
  <c r="E411" i="1" s="1"/>
  <c r="G411" i="1" l="1"/>
  <c r="D288" i="1"/>
  <c r="H288" i="1"/>
  <c r="G288" i="1" s="1"/>
  <c r="H488" i="1" l="1"/>
  <c r="D494" i="1" l="1"/>
  <c r="E494" i="1" s="1"/>
  <c r="G494" i="1" s="1"/>
  <c r="E376" i="1"/>
  <c r="E281" i="1"/>
  <c r="E392" i="1"/>
  <c r="G392" i="1" s="1"/>
  <c r="E159" i="1"/>
  <c r="G159" i="1" s="1"/>
  <c r="H460" i="1"/>
  <c r="G460" i="1" s="1"/>
  <c r="D230" i="1"/>
  <c r="E230" i="1" s="1"/>
  <c r="G281" i="1" l="1"/>
  <c r="G376" i="1"/>
  <c r="G13" i="1"/>
  <c r="G230" i="1"/>
  <c r="D86" i="1" l="1"/>
  <c r="E317" i="1"/>
  <c r="G317" i="1" l="1"/>
  <c r="E6" i="1"/>
  <c r="G6" i="1" l="1"/>
  <c r="H245" i="1" l="1"/>
  <c r="E245" i="1"/>
  <c r="E133" i="1" l="1"/>
  <c r="G133" i="1" s="1"/>
  <c r="D157" i="1"/>
  <c r="H315" i="1"/>
  <c r="H46" i="1"/>
  <c r="E445" i="1"/>
  <c r="G445" i="1" s="1"/>
  <c r="E470" i="1"/>
  <c r="G470" i="1" s="1"/>
  <c r="H423" i="1"/>
  <c r="G423" i="1" s="1"/>
  <c r="H434" i="1"/>
  <c r="H374" i="1" l="1"/>
  <c r="E374" i="1"/>
  <c r="G374" i="1" l="1"/>
  <c r="E229" i="1"/>
  <c r="G229" i="1" s="1"/>
  <c r="H224" i="1"/>
  <c r="H250" i="1" l="1"/>
  <c r="D250" i="1"/>
  <c r="E410" i="1" l="1"/>
  <c r="E451" i="1"/>
  <c r="G451" i="1" s="1"/>
  <c r="H435" i="1"/>
  <c r="D435" i="1"/>
  <c r="E435" i="1" s="1"/>
  <c r="E210" i="1"/>
  <c r="G210" i="1" s="1"/>
  <c r="E238" i="1"/>
  <c r="G238" i="1" s="1"/>
  <c r="G435" i="1" l="1"/>
  <c r="E233" i="1"/>
  <c r="G410" i="1"/>
  <c r="H326" i="1" l="1"/>
  <c r="D326" i="1"/>
  <c r="E326" i="1" s="1"/>
  <c r="G326" i="1" l="1"/>
  <c r="E177" i="1"/>
  <c r="G177" i="1" s="1"/>
  <c r="E299" i="1"/>
  <c r="G299" i="1" s="1"/>
  <c r="H412" i="1" l="1"/>
  <c r="E412" i="1"/>
  <c r="G412" i="1" l="1"/>
  <c r="H165" i="1"/>
  <c r="G165" i="1" s="1"/>
  <c r="D165" i="1"/>
  <c r="E108" i="1"/>
  <c r="E263" i="1"/>
  <c r="G263" i="1" s="1"/>
  <c r="G507" i="1"/>
  <c r="G108" i="1" l="1"/>
  <c r="D36" i="1"/>
  <c r="H403" i="1" l="1"/>
  <c r="E403" i="1"/>
  <c r="H36" i="1" l="1"/>
  <c r="G36" i="1" s="1"/>
  <c r="H475" i="1"/>
  <c r="G475" i="1" s="1"/>
  <c r="E433" i="1" l="1"/>
  <c r="G433" i="1" s="1"/>
  <c r="E378" i="1"/>
  <c r="E285" i="1"/>
  <c r="G285" i="1" s="1"/>
  <c r="H377" i="1"/>
  <c r="H332" i="1"/>
  <c r="E75" i="1"/>
  <c r="G75" i="1" s="1"/>
  <c r="H169" i="1"/>
  <c r="E370" i="1"/>
  <c r="E406" i="1"/>
  <c r="G378" i="1" l="1"/>
  <c r="G482" i="1"/>
  <c r="G370" i="1"/>
  <c r="E27" i="1"/>
  <c r="G27" i="1" s="1"/>
  <c r="H347" i="1"/>
  <c r="E211" i="1"/>
  <c r="G83" i="1" l="1"/>
  <c r="E24" i="1"/>
  <c r="E4" i="1" l="1"/>
  <c r="E207" i="1"/>
  <c r="G207" i="1" s="1"/>
  <c r="H7" i="1"/>
  <c r="G7" i="1" s="1"/>
  <c r="D7" i="1"/>
  <c r="E262" i="1"/>
  <c r="G262" i="1" s="1"/>
  <c r="E479" i="1" l="1"/>
  <c r="G479" i="1" s="1"/>
  <c r="E497" i="1" l="1"/>
  <c r="H478" i="1"/>
  <c r="E478" i="1"/>
  <c r="E44" i="1"/>
  <c r="G44" i="1" s="1"/>
  <c r="H28" i="1"/>
  <c r="E28" i="1"/>
  <c r="G28" i="1" l="1"/>
  <c r="G478" i="1"/>
  <c r="G497" i="1"/>
  <c r="E335" i="1" l="1"/>
  <c r="G335" i="1" s="1"/>
  <c r="E429" i="1"/>
  <c r="G429" i="1" s="1"/>
  <c r="E446" i="1"/>
  <c r="H100" i="1"/>
  <c r="G100" i="1" s="1"/>
  <c r="E304" i="1"/>
  <c r="G304" i="1" s="1"/>
  <c r="E358" i="1"/>
  <c r="G358" i="1" s="1"/>
  <c r="E45" i="1"/>
  <c r="G45" i="1" s="1"/>
  <c r="E121" i="1" l="1"/>
  <c r="G121" i="1" s="1"/>
  <c r="E282" i="1"/>
  <c r="G282" i="1" s="1"/>
  <c r="E33" i="1" l="1"/>
  <c r="E276" i="1"/>
  <c r="G276" i="1" s="1"/>
  <c r="E268" i="1"/>
  <c r="G268" i="1" s="1"/>
  <c r="H69" i="1"/>
  <c r="E49" i="1"/>
  <c r="G49" i="1" s="1"/>
  <c r="G33" i="1" l="1"/>
  <c r="G318" i="1" l="1"/>
  <c r="H139" i="1"/>
  <c r="E477" i="1" l="1"/>
  <c r="G501" i="1" l="1"/>
  <c r="G135" i="1" l="1"/>
  <c r="G46" i="1"/>
  <c r="H53" i="1"/>
  <c r="G53" i="1" s="1"/>
  <c r="D53" i="1"/>
  <c r="E449" i="1" l="1"/>
  <c r="E427" i="1" l="1"/>
  <c r="G427" i="1" s="1"/>
  <c r="E315" i="1"/>
  <c r="G315" i="1" s="1"/>
  <c r="E32" i="1"/>
  <c r="E10" i="1"/>
  <c r="G10" i="1" s="1"/>
  <c r="E168" i="1"/>
  <c r="G168" i="1" s="1"/>
  <c r="E200" i="1"/>
  <c r="G200" i="1" s="1"/>
  <c r="D139" i="1"/>
  <c r="E474" i="1" l="1"/>
  <c r="E472" i="1"/>
  <c r="E308" i="1" l="1"/>
  <c r="G308" i="1" s="1"/>
  <c r="E241" i="1" l="1"/>
  <c r="G241" i="1" s="1"/>
  <c r="H231" i="1" l="1"/>
  <c r="D231" i="1"/>
  <c r="E275" i="1" l="1"/>
  <c r="G275" i="1" s="1"/>
  <c r="E126" i="1"/>
  <c r="E85" i="1" l="1"/>
  <c r="E495" i="1" l="1"/>
  <c r="E231" i="1" l="1"/>
  <c r="G231" i="1" s="1"/>
  <c r="E322" i="1" l="1"/>
  <c r="E369" i="1"/>
  <c r="G369" i="1" s="1"/>
  <c r="D176" i="1"/>
  <c r="E496" i="1"/>
  <c r="G496" i="1" s="1"/>
  <c r="E169" i="1"/>
  <c r="E232" i="1" l="1"/>
  <c r="G232" i="1" s="1"/>
  <c r="H337" i="1" l="1"/>
  <c r="E337" i="1"/>
  <c r="E380" i="1"/>
  <c r="G380" i="1" s="1"/>
  <c r="E342" i="1"/>
  <c r="G342" i="1" s="1"/>
  <c r="G337" i="1" l="1"/>
  <c r="E394" i="1"/>
  <c r="G419" i="1" l="1"/>
  <c r="E466" i="1" l="1"/>
  <c r="G466" i="1" s="1"/>
  <c r="E253" i="1" l="1"/>
  <c r="G253" i="1" s="1"/>
  <c r="E329" i="1" l="1"/>
  <c r="G329" i="1" s="1"/>
  <c r="E488" i="1" l="1"/>
  <c r="E375" i="1"/>
  <c r="E202" i="1"/>
  <c r="G375" i="1" l="1"/>
  <c r="G202" i="1"/>
  <c r="G332" i="1"/>
  <c r="E493" i="1" l="1"/>
  <c r="G493" i="1" s="1"/>
  <c r="G322" i="1"/>
  <c r="E63" i="1"/>
  <c r="G498" i="1" l="1"/>
  <c r="H359" i="1"/>
  <c r="H228" i="1" l="1"/>
  <c r="H181" i="1"/>
  <c r="E462" i="1"/>
  <c r="G462" i="1" s="1"/>
  <c r="E398" i="1" l="1"/>
  <c r="E298" i="1" l="1"/>
  <c r="E187" i="1"/>
  <c r="H343" i="1" l="1"/>
  <c r="E56" i="1"/>
  <c r="G55" i="1" s="1"/>
  <c r="E70" i="1"/>
  <c r="E20" i="1"/>
  <c r="E104" i="1"/>
  <c r="G103" i="1" s="1"/>
  <c r="E79" i="1" l="1"/>
  <c r="E123" i="1" l="1"/>
  <c r="G89" i="1"/>
  <c r="E73" i="1"/>
  <c r="H197" i="1" l="1"/>
  <c r="D76" i="1" l="1"/>
  <c r="G67" i="1" l="1"/>
  <c r="G147" i="1" l="1"/>
  <c r="E372" i="1"/>
  <c r="G371" i="1" s="1"/>
  <c r="E179" i="1"/>
  <c r="E87" i="1" l="1"/>
  <c r="G193" i="1" l="1"/>
  <c r="D178" i="1" l="1"/>
  <c r="E346" i="1"/>
  <c r="G346" i="1" s="1"/>
  <c r="G399" i="1"/>
  <c r="G488" i="1" l="1"/>
  <c r="E283" i="1"/>
  <c r="G283" i="1" s="1"/>
  <c r="H254" i="1" l="1"/>
  <c r="D254" i="1"/>
  <c r="E50" i="1" l="1"/>
  <c r="E363" i="1" l="1"/>
  <c r="G363" i="1" s="1"/>
  <c r="E134" i="1" l="1"/>
  <c r="H473" i="1" l="1"/>
  <c r="D473" i="1"/>
  <c r="D471" i="1"/>
  <c r="E456" i="1" l="1"/>
  <c r="G456" i="1" s="1"/>
  <c r="E359" i="1" l="1"/>
  <c r="G359" i="1" s="1"/>
  <c r="E292" i="1"/>
  <c r="G292" i="1" s="1"/>
  <c r="E265" i="1"/>
  <c r="G265" i="1" s="1"/>
  <c r="D458" i="1" l="1"/>
  <c r="E5" i="1"/>
  <c r="G5" i="1" s="1"/>
  <c r="D205" i="1" l="1"/>
  <c r="G205" i="1" s="1"/>
  <c r="E284" i="1"/>
  <c r="G284" i="1" s="1"/>
  <c r="D122" i="1" l="1"/>
  <c r="E224" i="1" l="1"/>
  <c r="G224" i="1" s="1"/>
  <c r="G51" i="1" l="1"/>
  <c r="E434" i="1" l="1"/>
  <c r="G434" i="1" s="1"/>
  <c r="E362" i="1"/>
  <c r="G362" i="1" s="1"/>
  <c r="E316" i="1" l="1"/>
  <c r="D515" i="1" l="1"/>
  <c r="E9" i="1"/>
  <c r="E26" i="1"/>
  <c r="G26" i="1" s="1"/>
  <c r="E38" i="1"/>
  <c r="G38" i="1" s="1"/>
  <c r="E41" i="1"/>
  <c r="G41" i="1" s="1"/>
  <c r="G50" i="1"/>
  <c r="E66" i="1"/>
  <c r="E81" i="1"/>
  <c r="G81" i="1" s="1"/>
  <c r="E97" i="1"/>
  <c r="G97" i="1" s="1"/>
  <c r="E109" i="1"/>
  <c r="G109" i="1" s="1"/>
  <c r="E118" i="1"/>
  <c r="E127" i="1"/>
  <c r="G127" i="1" s="1"/>
  <c r="E130" i="1"/>
  <c r="G142" i="1"/>
  <c r="G144" i="1"/>
  <c r="E152" i="1"/>
  <c r="G169" i="1"/>
  <c r="E175" i="1"/>
  <c r="E176" i="1"/>
  <c r="E181" i="1"/>
  <c r="G181" i="1" s="1"/>
  <c r="G191" i="1"/>
  <c r="G197" i="1"/>
  <c r="E212" i="1"/>
  <c r="E219" i="1"/>
  <c r="G219" i="1" s="1"/>
  <c r="E223" i="1"/>
  <c r="E228" i="1"/>
  <c r="G228" i="1" s="1"/>
  <c r="E246" i="1"/>
  <c r="G246" i="1" s="1"/>
  <c r="E248" i="1"/>
  <c r="G248" i="1" s="1"/>
  <c r="E293" i="1"/>
  <c r="G293" i="1" s="1"/>
  <c r="E302" i="1"/>
  <c r="G302" i="1" s="1"/>
  <c r="G307" i="1"/>
  <c r="E310" i="1"/>
  <c r="G311" i="1"/>
  <c r="E320" i="1"/>
  <c r="G320" i="1" s="1"/>
  <c r="E321" i="1"/>
  <c r="E354" i="1"/>
  <c r="E360" i="1"/>
  <c r="G360" i="1" s="1"/>
  <c r="E365" i="1"/>
  <c r="E366" i="1"/>
  <c r="G366" i="1" s="1"/>
  <c r="E377" i="1"/>
  <c r="G377" i="1" s="1"/>
  <c r="E379" i="1"/>
  <c r="E393" i="1"/>
  <c r="G393" i="1" s="1"/>
  <c r="E397" i="1"/>
  <c r="E405" i="1"/>
  <c r="G405" i="1" s="1"/>
  <c r="E407" i="1"/>
  <c r="G407" i="1" s="1"/>
  <c r="E414" i="1"/>
  <c r="G414" i="1" s="1"/>
  <c r="G421" i="1"/>
  <c r="E444" i="1"/>
  <c r="G444" i="1" s="1"/>
  <c r="E453" i="1"/>
  <c r="G458" i="1"/>
  <c r="E486" i="1"/>
  <c r="E487" i="1"/>
  <c r="E514" i="1"/>
  <c r="G514" i="1" s="1"/>
  <c r="C515" i="1"/>
  <c r="G398" i="1"/>
  <c r="G515" i="1" l="1"/>
</calcChain>
</file>

<file path=xl/sharedStrings.xml><?xml version="1.0" encoding="utf-8"?>
<sst xmlns="http://schemas.openxmlformats.org/spreadsheetml/2006/main" count="502" uniqueCount="384">
  <si>
    <t>№ п/пп</t>
  </si>
  <si>
    <t>ФАМИЛИЯ, ИМЯ, ОТЧЕСТВО</t>
  </si>
  <si>
    <t>Показания эл. счетчиков кВт.ч</t>
  </si>
  <si>
    <t>Разница, кВт.ч</t>
  </si>
  <si>
    <t>Стоимость поставляемой электроэнергии (руб.)</t>
  </si>
  <si>
    <t>Левшин Виктор Иванович</t>
  </si>
  <si>
    <t>Егоров Михаил Николаевич</t>
  </si>
  <si>
    <t>поставлен в график на отключение</t>
  </si>
  <si>
    <t>Сусарова Анна Залмановна</t>
  </si>
  <si>
    <t>Дараселия Людмила Пименовна</t>
  </si>
  <si>
    <t>Киселева Наталья Александровна</t>
  </si>
  <si>
    <t>Рослякова Карина Владимировна</t>
  </si>
  <si>
    <t>Булгаков Владимир Иванович</t>
  </si>
  <si>
    <t>Громова Наталья Константиновна</t>
  </si>
  <si>
    <t>Курносова Ольга Борисовна</t>
  </si>
  <si>
    <t>Каширова Галина Алексеевна</t>
  </si>
  <si>
    <t>Заброшен</t>
  </si>
  <si>
    <t>Милехин Юрий Владимирович</t>
  </si>
  <si>
    <t>Пороховов Алексей Анатольевич</t>
  </si>
  <si>
    <t>Смирнова Елена Вадимовна</t>
  </si>
  <si>
    <t>Пятых Мария Ивановна</t>
  </si>
  <si>
    <t>Горохова Любовь Ивановна</t>
  </si>
  <si>
    <t>Пичугина Алла Михайловна</t>
  </si>
  <si>
    <t>Гусакович Александр Степанович</t>
  </si>
  <si>
    <t>Веселов Геннадий Николаевич</t>
  </si>
  <si>
    <t>Василенко Оксана Владиславовна</t>
  </si>
  <si>
    <t>Марченко Николай Михайлович</t>
  </si>
  <si>
    <t>Мгалобишвили Нина Александровна</t>
  </si>
  <si>
    <t>Разумцова Софья Рафаэльевна</t>
  </si>
  <si>
    <t>Полищук Роман Павлович</t>
  </si>
  <si>
    <t>Сабурова Надежда Александровна</t>
  </si>
  <si>
    <t>Суровкина Галина Ивановна</t>
  </si>
  <si>
    <t>Козлова Мария Матвеевна</t>
  </si>
  <si>
    <t>Шакурова Ирина Евгеньевна</t>
  </si>
  <si>
    <t>Мещерякова Людмила Тимофеевна</t>
  </si>
  <si>
    <t>Иванов Юрий Андреевич</t>
  </si>
  <si>
    <t>установлен 1 счетчик на участки № 38, 56</t>
  </si>
  <si>
    <t>Сидоров Игорь Петрович</t>
  </si>
  <si>
    <t>Кудзелько Светлана Николаевна</t>
  </si>
  <si>
    <t>Корнеева Марина Ивановна</t>
  </si>
  <si>
    <t>Игнатьева Светлана Владимировна</t>
  </si>
  <si>
    <t>Игнатьев Виктор Петрович</t>
  </si>
  <si>
    <t>Сажин Александр Сергеевич</t>
  </si>
  <si>
    <t>Балаева Светлан Васильевна</t>
  </si>
  <si>
    <t>замена счетчика 24.07.2021</t>
  </si>
  <si>
    <t>Артемкина Ольга Макаровна</t>
  </si>
  <si>
    <t>Полухин Алексей Евгеньевич</t>
  </si>
  <si>
    <t>Бегинин Иван Прокофьевич</t>
  </si>
  <si>
    <t>Лепетюха Татьяна Васильевна</t>
  </si>
  <si>
    <t>Бахтиярова Тамара Юрьевна</t>
  </si>
  <si>
    <t>Юмкина Ольга Александровна</t>
  </si>
  <si>
    <t>Тимошина Юлия Игоревна</t>
  </si>
  <si>
    <t>Красивская Алия Тагировна</t>
  </si>
  <si>
    <t>Черницын Вячеслав Николаевич</t>
  </si>
  <si>
    <t>Малышева Марина Николаевна</t>
  </si>
  <si>
    <t>Иванов Андрей Викторович</t>
  </si>
  <si>
    <t>Леонтьев Михаил Иванович</t>
  </si>
  <si>
    <t>Смирнов Денис Михайлович</t>
  </si>
  <si>
    <t>Кулаева Лидия Константиновна</t>
  </si>
  <si>
    <t>Герасимова Светлана Алексеевна</t>
  </si>
  <si>
    <t>Поротикова Елена Александровна</t>
  </si>
  <si>
    <t>Поротиков Владислав Александрович</t>
  </si>
  <si>
    <t>Устимов Юрий Владимирович</t>
  </si>
  <si>
    <t>Шпак Валентина Петровна</t>
  </si>
  <si>
    <t>Каменский Григорий Михайлович</t>
  </si>
  <si>
    <t>Лифаненков Юрий Алексеевич</t>
  </si>
  <si>
    <t>Комаров Валерий Нефедович</t>
  </si>
  <si>
    <t>Пронина Мария Николаевна</t>
  </si>
  <si>
    <t>Шупп Виктория Викторовна</t>
  </si>
  <si>
    <t>Пенюшин Андрей Васильевич</t>
  </si>
  <si>
    <t>Назаров Юрий Викторович</t>
  </si>
  <si>
    <t>Юшенков Юрий Алексеевич/  Юшенкова Ольга Алексеевна</t>
  </si>
  <si>
    <t>Седых Мария Михайловна</t>
  </si>
  <si>
    <t>Байкова Ольга Михайловна</t>
  </si>
  <si>
    <t>Завьялова Ольга Игоревна</t>
  </si>
  <si>
    <t>электроэнергия не подключена, счетчик не установлен</t>
  </si>
  <si>
    <t>Минайкина Татьяна Ивановна</t>
  </si>
  <si>
    <t>Игнатьев Илья Владимирович</t>
  </si>
  <si>
    <t>Выжевская Тамара Александровна</t>
  </si>
  <si>
    <t>Кузьмина Маргарита Александровна</t>
  </si>
  <si>
    <t>Гасилов Алексей Евгеньевич</t>
  </si>
  <si>
    <t>Боева Татьяна Трофимовна</t>
  </si>
  <si>
    <t>Петрова Татьяна Евгеньевна</t>
  </si>
  <si>
    <t>Фридман Виктор Михайлович</t>
  </si>
  <si>
    <t>Статуева Людмила Дмитриевна</t>
  </si>
  <si>
    <t>Кобылянский Владимир Анатольевич</t>
  </si>
  <si>
    <t>Меньшикова Ольга Олеговна</t>
  </si>
  <si>
    <t>Слемзин Николай Николаевич</t>
  </si>
  <si>
    <t>Сырмолотова Елена Александровна</t>
  </si>
  <si>
    <t>Савостьянова Елена Владимировна</t>
  </si>
  <si>
    <t>Таланов Владимир Александрович</t>
  </si>
  <si>
    <t>Овинова Нина Ивановна</t>
  </si>
  <si>
    <t>Сидоров Николай Дмитриевич</t>
  </si>
  <si>
    <t>Новиков Владимир Николаевич</t>
  </si>
  <si>
    <t>Колесникова Наталья Вячеславовна</t>
  </si>
  <si>
    <t>Ефремова Зоя Тимофеевна</t>
  </si>
  <si>
    <t>Мазурец Татьяна Владимировна</t>
  </si>
  <si>
    <t>Ильинов Михаил Маркович</t>
  </si>
  <si>
    <t>Фоменков Сергей Владимирович</t>
  </si>
  <si>
    <t>Ермолаева Елена Юрьевна</t>
  </si>
  <si>
    <t>Галушина Раиса Викторовна</t>
  </si>
  <si>
    <t>Воробьев Алексей Алексеевич</t>
  </si>
  <si>
    <t>Мокраусова Елена Алексеевна</t>
  </si>
  <si>
    <t>Селиванова Антонина Федоровна</t>
  </si>
  <si>
    <t>Маркова Мария Дмитриевна</t>
  </si>
  <si>
    <t>Тимофеев Алексей Викторович</t>
  </si>
  <si>
    <t>Губанов Дмитрий Александрович</t>
  </si>
  <si>
    <t>Голубев Владимир Анатольевич</t>
  </si>
  <si>
    <t>Школин Юрий Владиславович</t>
  </si>
  <si>
    <t>Яковлев Александр Владимирович</t>
  </si>
  <si>
    <t>Гусарова Наталья Сергеевна</t>
  </si>
  <si>
    <t>Новикова Ирина Ивановна</t>
  </si>
  <si>
    <t>Бабурина Ольга Петровна</t>
  </si>
  <si>
    <t>Новиков Валерий Николаевич</t>
  </si>
  <si>
    <t>Сычев Андрей Анатольевич</t>
  </si>
  <si>
    <t>Воронина Александра Дмитриевна</t>
  </si>
  <si>
    <t>Кузнецова Галина Михайловна</t>
  </si>
  <si>
    <t>Шпак Мария Сергеевна</t>
  </si>
  <si>
    <t>Журомский Михаил Всеволодович</t>
  </si>
  <si>
    <t>Тарасов Николай Георгиевич</t>
  </si>
  <si>
    <t>Васильева Ольга Дмитриевна</t>
  </si>
  <si>
    <t>Смирнов Михаил Викторович</t>
  </si>
  <si>
    <t>заброшен</t>
  </si>
  <si>
    <t>Полонская Тамара Юльяновна</t>
  </si>
  <si>
    <t>Митасева Галина Дмитриевна</t>
  </si>
  <si>
    <t>Безвесильный Сергей Николаевич</t>
  </si>
  <si>
    <t>Петрова Валентина Александровна</t>
  </si>
  <si>
    <t>Соловьев Юрий Михайлович</t>
  </si>
  <si>
    <t>Евсеева Людмила Анатольевна</t>
  </si>
  <si>
    <t>Курмаева Ирина Алексеевна</t>
  </si>
  <si>
    <t>Ивкин Александр Павлович</t>
  </si>
  <si>
    <t>Казеева Ляйла Анасовна</t>
  </si>
  <si>
    <t>Мильруд Надежда Геннадиевна</t>
  </si>
  <si>
    <t>Объедкова Светлана Павловна/ Объедков Михаил Васильевич</t>
  </si>
  <si>
    <t>Комбасова Наталья Владимировна</t>
  </si>
  <si>
    <t>Воронин Александр Васильевич</t>
  </si>
  <si>
    <t>Торшина Татьяна Васильевна</t>
  </si>
  <si>
    <t>Суслов Виктор Григорьевич</t>
  </si>
  <si>
    <t>Чебурков Александр Евгеньевич</t>
  </si>
  <si>
    <t>Розанов Юрий Владимирович</t>
  </si>
  <si>
    <t>установлен 1 счетчик на участки № 161, 162</t>
  </si>
  <si>
    <t>Валов Алексей Васильевич</t>
  </si>
  <si>
    <t>Томашевская Оксана Алексеевна</t>
  </si>
  <si>
    <t>Беляков Сергей Петрович</t>
  </si>
  <si>
    <t>Дарькина Наталья Анатольевна</t>
  </si>
  <si>
    <t>Кузьмичева Любовь Александровна</t>
  </si>
  <si>
    <t>Еремина Ольга Владимировна</t>
  </si>
  <si>
    <t>Дмитриева Надежда Васильевна</t>
  </si>
  <si>
    <t>установлен 1 счетчик на участки № 171, 172</t>
  </si>
  <si>
    <t>Кирюшин Анатолий Иванович</t>
  </si>
  <si>
    <t>Студеникин Юрий Иванович</t>
  </si>
  <si>
    <t>Калмакова Татьяна Владимировна</t>
  </si>
  <si>
    <t>Кулагин Юрий Михайлович</t>
  </si>
  <si>
    <t>Ершова Наталия Владимировна</t>
  </si>
  <si>
    <t>Жирнова Нина Михайловна</t>
  </si>
  <si>
    <t>Панкратенко Валентина Леонидовна</t>
  </si>
  <si>
    <t>Ильина Людмила Федоровна</t>
  </si>
  <si>
    <t>Калайтан Вера Михайловна</t>
  </si>
  <si>
    <t>Жуков Сергей Евгеньевич</t>
  </si>
  <si>
    <t>Кожевников Евгений Александрович</t>
  </si>
  <si>
    <t>Порутчиков Алексей Николаевич</t>
  </si>
  <si>
    <t>Свинцова Надежда Тимофеевна</t>
  </si>
  <si>
    <t>Гришина Елена Викторовна</t>
  </si>
  <si>
    <t>Юнин Владимир Сергеевич</t>
  </si>
  <si>
    <t>Умнягин Вячеслав Викторович</t>
  </si>
  <si>
    <t>Арташева Зоя Викторовна</t>
  </si>
  <si>
    <t>Солоненков Сергей Викторович</t>
  </si>
  <si>
    <t>Смирнова Вероника Анатольевна</t>
  </si>
  <si>
    <t>Ковыршина Наталья Михайловна</t>
  </si>
  <si>
    <t>Яганычев Сергей Анатольевич</t>
  </si>
  <si>
    <t>Гура Иван Валерьевич</t>
  </si>
  <si>
    <t>Речкина Наталья Николаевна</t>
  </si>
  <si>
    <t>Пименова Валентина Ивановна</t>
  </si>
  <si>
    <t>Суверина Светлана Васильевна</t>
  </si>
  <si>
    <t>Слученкова Валентина Кирилловна</t>
  </si>
  <si>
    <t>Ниякий Наталья Станиславовна</t>
  </si>
  <si>
    <t>Ларионов Николай Борисович</t>
  </si>
  <si>
    <t>Лыков Виктор Иванович</t>
  </si>
  <si>
    <t>установлен 1 счетчик на участки № 197, 209</t>
  </si>
  <si>
    <t>Тарасова Ирина Викторовна</t>
  </si>
  <si>
    <t>210а</t>
  </si>
  <si>
    <t>Сымарга Роман Александрович</t>
  </si>
  <si>
    <t>Поляков Евгений Вячеславович</t>
  </si>
  <si>
    <t>Ярков Константин Геннадьевич</t>
  </si>
  <si>
    <t>Болденкова Валентина Георгиевна</t>
  </si>
  <si>
    <t>Гуренко Наталья Владимировна</t>
  </si>
  <si>
    <t>Соболев Петр Николаевич</t>
  </si>
  <si>
    <t>Ярков Геннадий Алексеевич</t>
  </si>
  <si>
    <t>Графова Наталья Викторовна</t>
  </si>
  <si>
    <t>Тарасова Татьяна Михайловна</t>
  </si>
  <si>
    <t>Маркина Татьяна Анатольевна</t>
  </si>
  <si>
    <t>Мазур Марина Львовна</t>
  </si>
  <si>
    <t>установлен 1 счетчик на участки № 225, 226</t>
  </si>
  <si>
    <t>Лысенко Андрей Кимович</t>
  </si>
  <si>
    <t>Желобкова Вера Анатольевна</t>
  </si>
  <si>
    <t>Сергиенко Александр Викторович</t>
  </si>
  <si>
    <t>Зиновьева Нина Николаевна</t>
  </si>
  <si>
    <t>Демчук Наталья Ивановна</t>
  </si>
  <si>
    <t>Субботина Ольга Анатольевна</t>
  </si>
  <si>
    <t>Рогозенков Виктор Васильевич</t>
  </si>
  <si>
    <t>Напольнов Юрий Анатольевич</t>
  </si>
  <si>
    <t>Побоченко Елена Викторовна</t>
  </si>
  <si>
    <t>Шандрик Людмила Петровна</t>
  </si>
  <si>
    <t>Андреева Ирина Анатольевна</t>
  </si>
  <si>
    <t>Филиппов Валерий Александрович</t>
  </si>
  <si>
    <t>Калинова Анна Витальевна</t>
  </si>
  <si>
    <t>Бахматов Дмитрий Борисович</t>
  </si>
  <si>
    <t>Гороновская Дарья Александровна</t>
  </si>
  <si>
    <t>Ефимова Екатерина Николаевна</t>
  </si>
  <si>
    <t>Куликова Раиса Владимировна</t>
  </si>
  <si>
    <t>Линьков Игорь Николаевич</t>
  </si>
  <si>
    <t>Асташин Денис Сергеевич</t>
  </si>
  <si>
    <t>Юшкин Константин Васильевич</t>
  </si>
  <si>
    <t>Панина Татьяна Николаевна</t>
  </si>
  <si>
    <t>Кирина Валентина Николаевна</t>
  </si>
  <si>
    <t>Чилингаров Александр Рубенович</t>
  </si>
  <si>
    <t>Берсенев Олег Викторович</t>
  </si>
  <si>
    <t>Потапова Елена Геннадьевна</t>
  </si>
  <si>
    <t>Пономарева Юлия Олеговна</t>
  </si>
  <si>
    <t>Куликов Николай Владимирович</t>
  </si>
  <si>
    <t>Новохатняя Ирина Владимировна</t>
  </si>
  <si>
    <t>Захаров Александр Викторович</t>
  </si>
  <si>
    <t>Фадюхина Ольга Юрьевна</t>
  </si>
  <si>
    <t>Костина Елена Викторовна</t>
  </si>
  <si>
    <t>Михнюк Павел Степанович</t>
  </si>
  <si>
    <t>Симачкова Инесса Игоревна</t>
  </si>
  <si>
    <t>Тужилков Дмитрий Николаевич</t>
  </si>
  <si>
    <t>Белкина Любовь Ивановна</t>
  </si>
  <si>
    <t>Солодовникова Светлана Владимировна</t>
  </si>
  <si>
    <t>Чернухин Сергей Алексеевич</t>
  </si>
  <si>
    <t>Бабаков Алексей Владимирович</t>
  </si>
  <si>
    <t>Марусина Валентина Григорьевна</t>
  </si>
  <si>
    <t>Манихина Елена Евгеньевна</t>
  </si>
  <si>
    <t>Алятина Светлана Юрьевна</t>
  </si>
  <si>
    <t>Стольников Игорь Владимирович</t>
  </si>
  <si>
    <t>Алхимова Нина Алексеевна</t>
  </si>
  <si>
    <t>Шкурко Леонид Степанович</t>
  </si>
  <si>
    <t>новый счетчик 06.09.2021</t>
  </si>
  <si>
    <t>Смирнова Галина Тихоновна</t>
  </si>
  <si>
    <t>Сергеев Николай Константинович</t>
  </si>
  <si>
    <t>Грачев Дмитрий Андреевич</t>
  </si>
  <si>
    <t>Сержантова Элеонора Михайловна</t>
  </si>
  <si>
    <t>Артемова Виолетта Михайловна</t>
  </si>
  <si>
    <t>Губина Галина Константиновна</t>
  </si>
  <si>
    <t>Сатина Ирина Николаевна</t>
  </si>
  <si>
    <t>Бахмутов Е. Г.</t>
  </si>
  <si>
    <t>Глотова Ирина Марковна</t>
  </si>
  <si>
    <t>Щербинкина Светлана Викторовна</t>
  </si>
  <si>
    <t>Григорьев Михаил Борисович</t>
  </si>
  <si>
    <t>Волков Сергей Сергеевич</t>
  </si>
  <si>
    <t>Суслов Виктор Викторович</t>
  </si>
  <si>
    <t>Вепринцев Максим Сергеевич</t>
  </si>
  <si>
    <t>Стома Ирина Анатольевна</t>
  </si>
  <si>
    <t>Лобанова Татьяна Сергеевна</t>
  </si>
  <si>
    <t>Колосова Татьяна Ивановна</t>
  </si>
  <si>
    <t>Сельская Елена Николаевна</t>
  </si>
  <si>
    <t>Лаврухина Елена Викторовна</t>
  </si>
  <si>
    <t>Климов Анатолий Сергеевич</t>
  </si>
  <si>
    <t>Шамолова Наталья Валерьевна</t>
  </si>
  <si>
    <t>Крупенин Юрий Константинович</t>
  </si>
  <si>
    <t>Белянушкина Марина Владимировна</t>
  </si>
  <si>
    <t>Зернова Ирина Анатольевна</t>
  </si>
  <si>
    <t>Комарова Марина Михайловна</t>
  </si>
  <si>
    <t>Тищенко Иван Никитович</t>
  </si>
  <si>
    <t>Шкурко Алла Анатольевна</t>
  </si>
  <si>
    <t>Вартанян Лариса Викторовна</t>
  </si>
  <si>
    <t>Сержантова Алла Михайловна</t>
  </si>
  <si>
    <t>Синев Виктор Алексеевич</t>
  </si>
  <si>
    <t>Соловьев Владимир Петрович</t>
  </si>
  <si>
    <t>Ермакова Людмила Ивановна</t>
  </si>
  <si>
    <t>Лысенко Яков Кимович</t>
  </si>
  <si>
    <t>Невернова Виктория Владимировна</t>
  </si>
  <si>
    <t>Рулькова Галина Викторовна</t>
  </si>
  <si>
    <t>Рульков Владимир Викторович</t>
  </si>
  <si>
    <t>Кириллов Александр Алексеевич</t>
  </si>
  <si>
    <t>Новый счетчик 10.10.2021</t>
  </si>
  <si>
    <t>Мрост Андрей Юрьевич</t>
  </si>
  <si>
    <t>Волокитин Денис Геннадьевич</t>
  </si>
  <si>
    <t>новый счётчик 24.07.2021</t>
  </si>
  <si>
    <t>Стерликов Станислав Александрович</t>
  </si>
  <si>
    <t>Малькова Надежда Николаевна</t>
  </si>
  <si>
    <t>Руссу Юлия Викторовна</t>
  </si>
  <si>
    <t>Лопатин Юрий Владимирович</t>
  </si>
  <si>
    <t>Самочатова Галина Федоровна</t>
  </si>
  <si>
    <t>Крылосов Владимир Вениаминович</t>
  </si>
  <si>
    <t>Смирнова Вера Владимировна</t>
  </si>
  <si>
    <t>Пронин Владимир Юрьевич</t>
  </si>
  <si>
    <t>Бабаева Наталья Николаевна</t>
  </si>
  <si>
    <t>Борисов Александр Игоревич</t>
  </si>
  <si>
    <t>Щурина Людмила Михайловна</t>
  </si>
  <si>
    <t>Смирнова Любовь Сергеевна</t>
  </si>
  <si>
    <t>Агафонов Илья Владимирович</t>
  </si>
  <si>
    <t>Агафонов Владимир Ильич</t>
  </si>
  <si>
    <t>Засыпкина Лариса Борисовна</t>
  </si>
  <si>
    <t>Лебедев Валерий Николаевич</t>
  </si>
  <si>
    <t>ИТОГО:</t>
  </si>
  <si>
    <t>Прямой договор</t>
  </si>
  <si>
    <t>Смольников Иван Анатольевич</t>
  </si>
  <si>
    <t>Нестеров Олег Николаевич</t>
  </si>
  <si>
    <t xml:space="preserve">Богданова Галина Сергеевна </t>
  </si>
  <si>
    <t xml:space="preserve">Семенова Наталья Борисовна </t>
  </si>
  <si>
    <t>Меньшикова Алла Олеговна</t>
  </si>
  <si>
    <t xml:space="preserve">Шпилева Галина Владимировна </t>
  </si>
  <si>
    <t>Глагозин Алексей Викторович</t>
  </si>
  <si>
    <t>Шпилева Галина Владимировна</t>
  </si>
  <si>
    <t>Плосковитова Татьяна Николаевна/ Копылова Екатерина Андреевна</t>
  </si>
  <si>
    <t>Боброва Валентина Анатольевна</t>
  </si>
  <si>
    <t>Гуляева Наталья Владимировна</t>
  </si>
  <si>
    <t>Переплата за предыдущие периоды (руб.)</t>
  </si>
  <si>
    <t>Сумма к оплате с учетом переплаты (руб.)</t>
  </si>
  <si>
    <t>новый счетчик 12.06.2022</t>
  </si>
  <si>
    <t>Новый счетчик 12.06.2022</t>
  </si>
  <si>
    <t>Байдакова Юлия Алексеевна</t>
  </si>
  <si>
    <t>Бусаров Вадим Васильевич</t>
  </si>
  <si>
    <t xml:space="preserve">Дмитриева Екатерина Александровна </t>
  </si>
  <si>
    <t xml:space="preserve">Корягин Руслан Юрьевич </t>
  </si>
  <si>
    <t>Макаров Павел Алексеевич</t>
  </si>
  <si>
    <t>Капитонова Оксана Владимировна</t>
  </si>
  <si>
    <t xml:space="preserve">Пуговкина Ирина Николаевна </t>
  </si>
  <si>
    <t xml:space="preserve">Сычёва Ольга Дмитриевна </t>
  </si>
  <si>
    <t xml:space="preserve">Жадкевич Нина Алексеевна </t>
  </si>
  <si>
    <t>Уклюдов Сергей Львович</t>
  </si>
  <si>
    <t xml:space="preserve">Ведерникова Людмила Николаевна </t>
  </si>
  <si>
    <t>Дьякова Любовь Анатольевна</t>
  </si>
  <si>
    <t xml:space="preserve">Петров Кирилл Вячеславович </t>
  </si>
  <si>
    <t xml:space="preserve">Иванов Геннадий Федорович </t>
  </si>
  <si>
    <t>Лаврентьева Оксана Анатольевна</t>
  </si>
  <si>
    <t>Федяинов Николай Иванович</t>
  </si>
  <si>
    <t xml:space="preserve">смена счетчика 30.11.2022г. </t>
  </si>
  <si>
    <t xml:space="preserve">смена счетчика 05.01.2023г. </t>
  </si>
  <si>
    <t>замена счетчика 05.01.2023</t>
  </si>
  <si>
    <t>Чернова Ольга Андреевна</t>
  </si>
  <si>
    <t>Пантелеев Георгий Георгиевич</t>
  </si>
  <si>
    <t>Милехин Дмитрий Юрьевич</t>
  </si>
  <si>
    <t>Спругге Тамара Владимировна</t>
  </si>
  <si>
    <t xml:space="preserve">Богатов Олег Владимирович </t>
  </si>
  <si>
    <t>Смольникова Наталья Николаевна</t>
  </si>
  <si>
    <t>Артамонова Татьяна Алексеевна</t>
  </si>
  <si>
    <t>Тарасов Константин Леонивоч</t>
  </si>
  <si>
    <t>Устимов Алексей Владимирович</t>
  </si>
  <si>
    <t>Чубрикова Наталья Николаевна/Харитонова Тамара Ивановна</t>
  </si>
  <si>
    <t>смена счетчика 02.07.2023г.</t>
  </si>
  <si>
    <t>Баранова Людмила Ивановна</t>
  </si>
  <si>
    <t xml:space="preserve">новый счетчик </t>
  </si>
  <si>
    <t>новый счетчик</t>
  </si>
  <si>
    <t>Денисов Кирилл Олегович</t>
  </si>
  <si>
    <t>!</t>
  </si>
  <si>
    <t>Кочкина Г.И.</t>
  </si>
  <si>
    <t>18/19</t>
  </si>
  <si>
    <t>Жучков А.В.</t>
  </si>
  <si>
    <t xml:space="preserve">№ участка </t>
  </si>
  <si>
    <t>ФИО</t>
  </si>
  <si>
    <t>Кудряшова Валентина Николаевна</t>
  </si>
  <si>
    <t>Кочкина Галина Ивановна</t>
  </si>
  <si>
    <t>Богданова Ольга Витальевна/ Войлов Владимир Витальевич</t>
  </si>
  <si>
    <t>смена счетчика 13.08.2023</t>
  </si>
  <si>
    <t>новый счетчик 12.08.2023, поставлен в график на отключение</t>
  </si>
  <si>
    <t>новый счетчик 03.10.2023</t>
  </si>
  <si>
    <t>Неверко Татьяна Игоревна</t>
  </si>
  <si>
    <t>новый счетчик 15.10.2023</t>
  </si>
  <si>
    <t>новый счетчик 03.07.2022, поставлен в график на отключение</t>
  </si>
  <si>
    <t>замена счетчика 17.11.2023</t>
  </si>
  <si>
    <t>Замена счетчика 15.01.2024, поставлен в график на отключение</t>
  </si>
  <si>
    <t>Вологдина Тамара Евгеньевна</t>
  </si>
  <si>
    <t xml:space="preserve">Ворожбит Дмитрий Владимирович </t>
  </si>
  <si>
    <t xml:space="preserve">Дейнего Геннадий Николаевич </t>
  </si>
  <si>
    <t>Репников Геннадий Николаевич</t>
  </si>
  <si>
    <t>Османов Таер Мубинович</t>
  </si>
  <si>
    <t>Филиппова Валентина Александровна/Власова Любовь Михайловна</t>
  </si>
  <si>
    <t>Тразахина Татьяна Борисовна/ Тразахина Алексей Петрович</t>
  </si>
  <si>
    <t>Косинова Александра Вениаминовна</t>
  </si>
  <si>
    <t>Горина Наталья Александровна/ Горина Елена Александровна</t>
  </si>
  <si>
    <t>Королева Нина Николаевна/ Тетеркина Наталья Викторовна/ Королев Андрей Викторович</t>
  </si>
  <si>
    <t>Слюзар Мария Мечиславовна</t>
  </si>
  <si>
    <t>На 31.05.2024</t>
  </si>
  <si>
    <t>ПОКАЗАНИЯ ВЫНОСНЫХ ЭЛ. СЧЕТЧИКОВ, УСТАНОВЛЕННЫХ НА СТОЛБАХ ОСВЕЩЕНИЯ ПО СОСТОЯНИЮ НА 31.05.2024г.</t>
  </si>
  <si>
    <t>По оплате 02.06.2024</t>
  </si>
  <si>
    <t>новый счетчик 03.07.2022 поставлен в график на отключение</t>
  </si>
  <si>
    <t>новый счетчик 02.10.2021 поставлен в график на отключение</t>
  </si>
  <si>
    <t>Замена счётчика 24.07.2021</t>
  </si>
  <si>
    <t>Новый счетчик 21.04.2024 поставлен в график на отключение</t>
  </si>
  <si>
    <t>новый счетчик 06.09.2021, поставлен в график на отключение</t>
  </si>
  <si>
    <t>Замена 02.02.2024, поставлен в график на отключение</t>
  </si>
  <si>
    <t>новый счетчик 03.10.2023, поставлен в график на отключение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</si>
</sst>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#,##0"/>
    <numFmt numFmtId="165" formatCode="[$-419]#,##0.00"/>
    <numFmt numFmtId="166" formatCode="&quot; &quot;#,##0.00&quot;р. &quot;;&quot;-&quot;#,##0.00&quot;р. &quot;;&quot; -&quot;#&quot;р. &quot;;@&quot; &quot;"/>
  </numFmts>
  <fonts count="16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Arial1"/>
      <charset val="204"/>
    </font>
    <font>
      <b/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CCC1DA"/>
        <bgColor rgb="FFCCC1DA"/>
      </patternFill>
    </fill>
    <fill>
      <patternFill patternType="solid">
        <fgColor rgb="FFFFFFFF"/>
        <bgColor rgb="FFFFFFFF"/>
      </patternFill>
    </fill>
    <fill>
      <patternFill patternType="solid">
        <fgColor rgb="FFFFFF66"/>
        <bgColor rgb="FFFFFF66"/>
      </patternFill>
    </fill>
    <fill>
      <patternFill patternType="solid">
        <fgColor rgb="FFBFBFBF"/>
        <bgColor rgb="FFBFBFBF"/>
      </patternFill>
    </fill>
    <fill>
      <patternFill patternType="solid">
        <fgColor rgb="FFCCC0DA"/>
        <bgColor rgb="FFCCC0DA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7" tint="0.59999389629810485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theme="7" tint="0.59999389629810485"/>
        <bgColor rgb="FFCCC1DA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66"/>
      </patternFill>
    </fill>
    <fill>
      <patternFill patternType="solid">
        <fgColor theme="7" tint="0.59999389629810485"/>
        <bgColor rgb="FFFFFF6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CC1DA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0"/>
        <bgColor rgb="FFCCC1DA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166" fontId="6" fillId="0" borderId="0"/>
  </cellStyleXfs>
  <cellXfs count="635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5" fillId="0" borderId="0" xfId="1" applyFont="1" applyFill="1" applyAlignment="1">
      <alignment horizontal="left" vertical="center" wrapText="1"/>
    </xf>
    <xf numFmtId="164" fontId="4" fillId="0" borderId="2" xfId="1" applyNumberFormat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164" fontId="4" fillId="4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165" fontId="4" fillId="0" borderId="4" xfId="1" applyNumberFormat="1" applyFont="1" applyFill="1" applyBorder="1" applyAlignment="1">
      <alignment horizontal="center" vertical="center" shrinkToFit="1"/>
    </xf>
    <xf numFmtId="0" fontId="1" fillId="0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1" applyFont="1" applyFill="1" applyAlignment="1">
      <alignment vertical="center"/>
    </xf>
    <xf numFmtId="0" fontId="0" fillId="0" borderId="0" xfId="0" applyAlignment="1">
      <alignment vertical="center"/>
    </xf>
    <xf numFmtId="165" fontId="5" fillId="0" borderId="2" xfId="1" applyNumberFormat="1" applyFont="1" applyFill="1" applyBorder="1" applyAlignment="1">
      <alignment horizontal="center" vertical="center"/>
    </xf>
    <xf numFmtId="0" fontId="0" fillId="0" borderId="2" xfId="2" applyFont="1" applyFill="1" applyBorder="1" applyAlignment="1">
      <alignment horizontal="center" vertical="center"/>
    </xf>
    <xf numFmtId="0" fontId="0" fillId="2" borderId="2" xfId="2" applyFont="1" applyFill="1" applyBorder="1" applyAlignment="1">
      <alignment horizontal="center" vertical="center"/>
    </xf>
    <xf numFmtId="164" fontId="4" fillId="10" borderId="2" xfId="1" applyNumberFormat="1" applyFont="1" applyFill="1" applyBorder="1" applyAlignment="1">
      <alignment horizontal="center" vertical="center"/>
    </xf>
    <xf numFmtId="164" fontId="4" fillId="7" borderId="2" xfId="1" applyNumberFormat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164" fontId="7" fillId="0" borderId="0" xfId="1" applyNumberFormat="1" applyFont="1" applyFill="1" applyAlignment="1">
      <alignment horizontal="center" vertical="center"/>
    </xf>
    <xf numFmtId="165" fontId="1" fillId="0" borderId="0" xfId="1" applyNumberFormat="1" applyFont="1" applyFill="1" applyAlignment="1">
      <alignment horizontal="center" vertical="center"/>
    </xf>
    <xf numFmtId="165" fontId="7" fillId="0" borderId="0" xfId="1" applyNumberFormat="1" applyFont="1" applyFill="1" applyAlignment="1">
      <alignment horizontal="center" vertical="center"/>
    </xf>
    <xf numFmtId="164" fontId="9" fillId="0" borderId="2" xfId="1" applyNumberFormat="1" applyFont="1" applyFill="1" applyBorder="1" applyAlignment="1">
      <alignment horizontal="center" vertical="center"/>
    </xf>
    <xf numFmtId="0" fontId="1" fillId="0" borderId="0" xfId="1" applyFont="1" applyFill="1" applyAlignment="1">
      <alignment horizontal="left" vertical="center" wrapText="1"/>
    </xf>
    <xf numFmtId="2" fontId="5" fillId="0" borderId="0" xfId="1" applyNumberFormat="1" applyFont="1" applyFill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9" xfId="1" applyFont="1" applyFill="1" applyBorder="1" applyAlignment="1">
      <alignment horizontal="left" vertical="center" wrapText="1"/>
    </xf>
    <xf numFmtId="166" fontId="5" fillId="0" borderId="0" xfId="1" applyNumberFormat="1" applyFont="1" applyFill="1" applyAlignment="1">
      <alignment horizontal="left" vertical="center" wrapText="1"/>
    </xf>
    <xf numFmtId="0" fontId="5" fillId="0" borderId="9" xfId="1" applyFont="1" applyFill="1" applyBorder="1" applyAlignment="1">
      <alignment horizontal="left" vertical="center" wrapText="1"/>
    </xf>
    <xf numFmtId="0" fontId="5" fillId="0" borderId="9" xfId="1" applyFont="1" applyFill="1" applyBorder="1" applyAlignment="1">
      <alignment horizontal="left" vertical="center" wrapText="1"/>
    </xf>
    <xf numFmtId="0" fontId="5" fillId="0" borderId="9" xfId="1" applyFont="1" applyFill="1" applyBorder="1" applyAlignment="1">
      <alignment horizontal="left" vertical="center" wrapText="1"/>
    </xf>
    <xf numFmtId="165" fontId="5" fillId="0" borderId="3" xfId="1" applyNumberFormat="1" applyFont="1" applyFill="1" applyBorder="1" applyAlignment="1">
      <alignment horizontal="center" vertical="center"/>
    </xf>
    <xf numFmtId="165" fontId="5" fillId="0" borderId="5" xfId="1" applyNumberFormat="1" applyFont="1" applyFill="1" applyBorder="1" applyAlignment="1">
      <alignment horizontal="center" vertical="center"/>
    </xf>
    <xf numFmtId="165" fontId="5" fillId="0" borderId="7" xfId="1" applyNumberFormat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left" vertical="center" wrapText="1"/>
    </xf>
    <xf numFmtId="0" fontId="5" fillId="0" borderId="9" xfId="1" applyFont="1" applyFill="1" applyBorder="1" applyAlignment="1">
      <alignment vertical="center" wrapText="1"/>
    </xf>
    <xf numFmtId="165" fontId="5" fillId="0" borderId="14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2" borderId="5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64" fontId="4" fillId="3" borderId="5" xfId="1" applyNumberFormat="1" applyFont="1" applyFill="1" applyBorder="1" applyAlignment="1">
      <alignment horizontal="center" vertical="center"/>
    </xf>
    <xf numFmtId="164" fontId="4" fillId="4" borderId="3" xfId="1" applyNumberFormat="1" applyFont="1" applyFill="1" applyBorder="1" applyAlignment="1">
      <alignment horizontal="center" vertical="center"/>
    </xf>
    <xf numFmtId="164" fontId="4" fillId="4" borderId="5" xfId="1" applyNumberFormat="1" applyFont="1" applyFill="1" applyBorder="1" applyAlignment="1">
      <alignment horizontal="center" vertical="center"/>
    </xf>
    <xf numFmtId="164" fontId="4" fillId="5" borderId="3" xfId="1" applyNumberFormat="1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left" vertical="center" wrapText="1"/>
    </xf>
    <xf numFmtId="0" fontId="5" fillId="0" borderId="9" xfId="1" applyFont="1" applyFill="1" applyBorder="1" applyAlignment="1">
      <alignment horizontal="left" vertical="center" wrapText="1"/>
    </xf>
    <xf numFmtId="164" fontId="4" fillId="0" borderId="3" xfId="1" applyNumberFormat="1" applyFont="1" applyFill="1" applyBorder="1" applyAlignment="1">
      <alignment horizontal="center" vertical="center"/>
    </xf>
    <xf numFmtId="164" fontId="10" fillId="4" borderId="2" xfId="1" applyNumberFormat="1" applyFont="1" applyFill="1" applyBorder="1" applyAlignment="1">
      <alignment horizontal="center" vertical="center"/>
    </xf>
    <xf numFmtId="165" fontId="9" fillId="0" borderId="4" xfId="1" applyNumberFormat="1" applyFont="1" applyFill="1" applyBorder="1" applyAlignment="1">
      <alignment horizontal="center" vertical="center" shrinkToFit="1"/>
    </xf>
    <xf numFmtId="164" fontId="10" fillId="0" borderId="5" xfId="1" applyNumberFormat="1" applyFont="1" applyFill="1" applyBorder="1" applyAlignment="1">
      <alignment horizontal="center" vertical="center"/>
    </xf>
    <xf numFmtId="164" fontId="10" fillId="0" borderId="2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 shrinkToFit="1"/>
    </xf>
    <xf numFmtId="164" fontId="4" fillId="0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2" borderId="5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5" fontId="4" fillId="0" borderId="12" xfId="1" applyNumberFormat="1" applyFont="1" applyFill="1" applyBorder="1" applyAlignment="1">
      <alignment horizontal="center" vertical="center" shrinkToFit="1"/>
    </xf>
    <xf numFmtId="164" fontId="4" fillId="0" borderId="21" xfId="1" applyNumberFormat="1" applyFont="1" applyFill="1" applyBorder="1" applyAlignment="1">
      <alignment horizontal="center" vertical="center"/>
    </xf>
    <xf numFmtId="165" fontId="5" fillId="0" borderId="23" xfId="1" applyNumberFormat="1" applyFont="1" applyFill="1" applyBorder="1" applyAlignment="1">
      <alignment horizontal="center" vertical="center"/>
    </xf>
    <xf numFmtId="165" fontId="5" fillId="7" borderId="2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164" fontId="4" fillId="0" borderId="12" xfId="1" applyNumberFormat="1" applyFont="1" applyFill="1" applyBorder="1" applyAlignment="1">
      <alignment horizontal="center" vertical="center"/>
    </xf>
    <xf numFmtId="165" fontId="5" fillId="0" borderId="25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 shrinkToFi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10" fillId="0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 shrinkToFi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12" borderId="3" xfId="1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64" fontId="4" fillId="3" borderId="7" xfId="1" applyNumberFormat="1" applyFont="1" applyFill="1" applyBorder="1" applyAlignment="1">
      <alignment horizontal="center" vertical="center"/>
    </xf>
    <xf numFmtId="165" fontId="4" fillId="0" borderId="26" xfId="1" applyNumberFormat="1" applyFont="1" applyFill="1" applyBorder="1" applyAlignment="1">
      <alignment horizontal="center" vertical="center" shrinkToFit="1"/>
    </xf>
    <xf numFmtId="164" fontId="4" fillId="0" borderId="7" xfId="1" applyNumberFormat="1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 shrinkToFi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5" borderId="7" xfId="1" applyNumberFormat="1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4" fontId="4" fillId="0" borderId="7" xfId="1" applyNumberFormat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left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5" fontId="9" fillId="0" borderId="10" xfId="1" applyNumberFormat="1" applyFont="1" applyFill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20" borderId="2" xfId="1" applyNumberFormat="1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horizontal="center" vertical="center"/>
    </xf>
    <xf numFmtId="164" fontId="4" fillId="3" borderId="7" xfId="1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165" fontId="4" fillId="0" borderId="7" xfId="1" applyNumberFormat="1" applyFont="1" applyFill="1" applyBorder="1" applyAlignment="1">
      <alignment horizontal="center" vertical="center" shrinkToFit="1"/>
    </xf>
    <xf numFmtId="165" fontId="4" fillId="0" borderId="10" xfId="1" applyNumberFormat="1" applyFont="1" applyFill="1" applyBorder="1" applyAlignment="1">
      <alignment horizontal="center" vertical="center" shrinkToFit="1"/>
    </xf>
    <xf numFmtId="164" fontId="4" fillId="3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 shrinkToFit="1"/>
    </xf>
    <xf numFmtId="165" fontId="4" fillId="0" borderId="10" xfId="1" applyNumberFormat="1" applyFont="1" applyFill="1" applyBorder="1" applyAlignment="1">
      <alignment horizontal="center" vertical="center" shrinkToFit="1"/>
    </xf>
    <xf numFmtId="164" fontId="4" fillId="3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164" fontId="4" fillId="19" borderId="3" xfId="1" applyNumberFormat="1" applyFont="1" applyFill="1" applyBorder="1" applyAlignment="1">
      <alignment horizontal="center" vertical="center"/>
    </xf>
    <xf numFmtId="164" fontId="4" fillId="7" borderId="3" xfId="1" applyNumberFormat="1" applyFont="1" applyFill="1" applyBorder="1" applyAlignment="1">
      <alignment horizontal="center" vertical="center"/>
    </xf>
    <xf numFmtId="164" fontId="4" fillId="2" borderId="12" xfId="1" applyNumberFormat="1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 shrinkToFi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5" borderId="3" xfId="1" applyNumberFormat="1" applyFont="1" applyFill="1" applyBorder="1" applyAlignment="1">
      <alignment horizontal="center" vertical="center"/>
    </xf>
    <xf numFmtId="164" fontId="4" fillId="11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5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 shrinkToFi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65" fontId="12" fillId="0" borderId="2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 shrinkToFit="1"/>
    </xf>
    <xf numFmtId="164" fontId="4" fillId="0" borderId="3" xfId="1" applyNumberFormat="1" applyFont="1" applyFill="1" applyBorder="1" applyAlignment="1">
      <alignment horizontal="center" vertical="center"/>
    </xf>
    <xf numFmtId="164" fontId="4" fillId="5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 shrinkToFit="1"/>
    </xf>
    <xf numFmtId="164" fontId="4" fillId="0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 shrinkToFit="1"/>
    </xf>
    <xf numFmtId="164" fontId="4" fillId="0" borderId="3" xfId="1" applyNumberFormat="1" applyFont="1" applyFill="1" applyBorder="1" applyAlignment="1">
      <alignment horizontal="center" vertical="center"/>
    </xf>
    <xf numFmtId="164" fontId="4" fillId="12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16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 shrinkToFit="1"/>
    </xf>
    <xf numFmtId="164" fontId="4" fillId="0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 shrinkToFit="1"/>
    </xf>
    <xf numFmtId="164" fontId="4" fillId="0" borderId="3" xfId="1" applyNumberFormat="1" applyFont="1" applyFill="1" applyBorder="1" applyAlignment="1">
      <alignment horizontal="center" vertical="center"/>
    </xf>
    <xf numFmtId="165" fontId="9" fillId="0" borderId="10" xfId="1" applyNumberFormat="1" applyFont="1" applyFill="1" applyBorder="1" applyAlignment="1">
      <alignment horizontal="center" vertical="center" shrinkToFit="1"/>
    </xf>
    <xf numFmtId="164" fontId="4" fillId="3" borderId="16" xfId="1" applyNumberFormat="1" applyFont="1" applyFill="1" applyBorder="1" applyAlignment="1">
      <alignment horizontal="center" vertical="center"/>
    </xf>
    <xf numFmtId="164" fontId="4" fillId="5" borderId="16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4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 shrinkToFit="1"/>
    </xf>
    <xf numFmtId="164" fontId="4" fillId="2" borderId="3" xfId="1" applyNumberFormat="1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 shrinkToFit="1"/>
    </xf>
    <xf numFmtId="164" fontId="4" fillId="0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5" fontId="4" fillId="0" borderId="11" xfId="1" applyNumberFormat="1" applyFont="1" applyFill="1" applyBorder="1" applyAlignment="1">
      <alignment horizontal="center" vertical="center" shrinkToFi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15" borderId="3" xfId="1" applyNumberFormat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left" vertical="center" wrapText="1"/>
    </xf>
    <xf numFmtId="164" fontId="4" fillId="0" borderId="5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9" fillId="3" borderId="3" xfId="1" applyNumberFormat="1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 shrinkToFit="1"/>
    </xf>
    <xf numFmtId="164" fontId="4" fillId="4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 shrinkToFi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 shrinkToFit="1"/>
    </xf>
    <xf numFmtId="164" fontId="4" fillId="2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5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 shrinkToFit="1"/>
    </xf>
    <xf numFmtId="164" fontId="4" fillId="3" borderId="3" xfId="1" applyNumberFormat="1" applyFont="1" applyFill="1" applyBorder="1" applyAlignment="1">
      <alignment horizontal="center" vertical="center"/>
    </xf>
    <xf numFmtId="164" fontId="4" fillId="14" borderId="3" xfId="1" applyNumberFormat="1" applyFont="1" applyFill="1" applyBorder="1" applyAlignment="1">
      <alignment horizontal="center" vertical="center"/>
    </xf>
    <xf numFmtId="164" fontId="4" fillId="20" borderId="3" xfId="1" applyNumberFormat="1" applyFont="1" applyFill="1" applyBorder="1" applyAlignment="1">
      <alignment horizontal="center" vertical="center"/>
    </xf>
    <xf numFmtId="164" fontId="4" fillId="17" borderId="3" xfId="1" applyNumberFormat="1" applyFont="1" applyFill="1" applyBorder="1" applyAlignment="1">
      <alignment horizontal="center" vertical="center"/>
    </xf>
    <xf numFmtId="164" fontId="4" fillId="16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164" fontId="4" fillId="0" borderId="6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5" borderId="3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 shrinkToFit="1"/>
    </xf>
    <xf numFmtId="165" fontId="4" fillId="0" borderId="24" xfId="1" applyNumberFormat="1" applyFont="1" applyFill="1" applyBorder="1" applyAlignment="1">
      <alignment horizontal="center" vertical="center" shrinkToFit="1"/>
    </xf>
    <xf numFmtId="0" fontId="4" fillId="0" borderId="21" xfId="1" applyFont="1" applyFill="1" applyBorder="1" applyAlignment="1">
      <alignment vertical="center" wrapText="1"/>
    </xf>
    <xf numFmtId="0" fontId="10" fillId="7" borderId="21" xfId="1" applyFont="1" applyFill="1" applyBorder="1" applyAlignment="1">
      <alignment horizontal="left" vertical="center" wrapText="1"/>
    </xf>
    <xf numFmtId="0" fontId="4" fillId="0" borderId="23" xfId="1" applyFont="1" applyFill="1" applyBorder="1" applyAlignment="1">
      <alignment vertical="center" wrapText="1"/>
    </xf>
    <xf numFmtId="0" fontId="4" fillId="7" borderId="21" xfId="1" applyFont="1" applyFill="1" applyBorder="1" applyAlignment="1">
      <alignment vertical="center" wrapText="1"/>
    </xf>
    <xf numFmtId="0" fontId="4" fillId="4" borderId="23" xfId="1" applyFont="1" applyFill="1" applyBorder="1" applyAlignment="1">
      <alignment vertical="center" wrapText="1"/>
    </xf>
    <xf numFmtId="0" fontId="4" fillId="0" borderId="27" xfId="1" applyFont="1" applyFill="1" applyBorder="1" applyAlignment="1">
      <alignment vertical="center" wrapText="1"/>
    </xf>
    <xf numFmtId="0" fontId="4" fillId="3" borderId="21" xfId="1" applyFont="1" applyFill="1" applyBorder="1" applyAlignment="1">
      <alignment vertical="center" wrapText="1"/>
    </xf>
    <xf numFmtId="0" fontId="4" fillId="3" borderId="23" xfId="1" applyFont="1" applyFill="1" applyBorder="1" applyAlignment="1">
      <alignment vertical="center" wrapText="1"/>
    </xf>
    <xf numFmtId="0" fontId="10" fillId="0" borderId="23" xfId="1" applyFont="1" applyFill="1" applyBorder="1" applyAlignment="1">
      <alignment vertical="center" wrapText="1"/>
    </xf>
    <xf numFmtId="0" fontId="4" fillId="3" borderId="20" xfId="1" applyFont="1" applyFill="1" applyBorder="1" applyAlignment="1">
      <alignment vertical="center" wrapText="1"/>
    </xf>
    <xf numFmtId="0" fontId="9" fillId="3" borderId="27" xfId="1" applyFont="1" applyFill="1" applyBorder="1" applyAlignment="1">
      <alignment vertical="center" wrapText="1"/>
    </xf>
    <xf numFmtId="0" fontId="9" fillId="0" borderId="21" xfId="1" applyFont="1" applyFill="1" applyBorder="1" applyAlignment="1">
      <alignment vertical="center" wrapText="1"/>
    </xf>
    <xf numFmtId="0" fontId="4" fillId="16" borderId="21" xfId="1" applyFont="1" applyFill="1" applyBorder="1" applyAlignment="1">
      <alignment horizontal="left" vertical="center" wrapText="1"/>
    </xf>
    <xf numFmtId="0" fontId="9" fillId="3" borderId="23" xfId="1" applyFont="1" applyFill="1" applyBorder="1" applyAlignment="1">
      <alignment vertical="center" wrapText="1"/>
    </xf>
    <xf numFmtId="0" fontId="4" fillId="4" borderId="21" xfId="1" applyFont="1" applyFill="1" applyBorder="1" applyAlignment="1">
      <alignment vertical="center" wrapText="1"/>
    </xf>
    <xf numFmtId="0" fontId="4" fillId="15" borderId="30" xfId="1" applyFont="1" applyFill="1" applyBorder="1" applyAlignment="1">
      <alignment vertical="center" wrapText="1"/>
    </xf>
    <xf numFmtId="0" fontId="4" fillId="0" borderId="31" xfId="1" applyFont="1" applyFill="1" applyBorder="1" applyAlignment="1">
      <alignment horizontal="left" vertical="center" wrapText="1"/>
    </xf>
    <xf numFmtId="0" fontId="4" fillId="0" borderId="20" xfId="1" applyFont="1" applyFill="1" applyBorder="1" applyAlignment="1">
      <alignment vertical="center" wrapText="1"/>
    </xf>
    <xf numFmtId="0" fontId="4" fillId="0" borderId="21" xfId="1" applyFont="1" applyFill="1" applyBorder="1" applyAlignment="1">
      <alignment horizontal="left" vertical="center" wrapText="1"/>
    </xf>
    <xf numFmtId="0" fontId="9" fillId="3" borderId="29" xfId="1" applyFont="1" applyFill="1" applyBorder="1" applyAlignment="1">
      <alignment vertical="center" wrapText="1"/>
    </xf>
    <xf numFmtId="0" fontId="4" fillId="0" borderId="30" xfId="1" applyFont="1" applyFill="1" applyBorder="1" applyAlignment="1">
      <alignment vertical="center" wrapText="1"/>
    </xf>
    <xf numFmtId="0" fontId="4" fillId="0" borderId="32" xfId="1" applyFont="1" applyFill="1" applyBorder="1" applyAlignment="1">
      <alignment vertical="center" wrapText="1"/>
    </xf>
    <xf numFmtId="0" fontId="4" fillId="7" borderId="23" xfId="1" applyFont="1" applyFill="1" applyBorder="1" applyAlignment="1">
      <alignment vertical="center" wrapText="1"/>
    </xf>
    <xf numFmtId="0" fontId="9" fillId="0" borderId="23" xfId="1" applyFont="1" applyFill="1" applyBorder="1" applyAlignment="1">
      <alignment vertical="center" wrapText="1"/>
    </xf>
    <xf numFmtId="0" fontId="4" fillId="16" borderId="21" xfId="1" applyFont="1" applyFill="1" applyBorder="1" applyAlignment="1">
      <alignment vertical="center" wrapText="1"/>
    </xf>
    <xf numFmtId="0" fontId="4" fillId="11" borderId="21" xfId="1" applyFont="1" applyFill="1" applyBorder="1" applyAlignment="1">
      <alignment vertical="center" wrapText="1"/>
    </xf>
    <xf numFmtId="166" fontId="4" fillId="4" borderId="21" xfId="3" applyFont="1" applyFill="1" applyBorder="1" applyAlignment="1">
      <alignment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16" borderId="7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4" fillId="7" borderId="7" xfId="1" applyFont="1" applyFill="1" applyBorder="1" applyAlignment="1">
      <alignment horizontal="center" vertical="center" wrapText="1"/>
    </xf>
    <xf numFmtId="0" fontId="4" fillId="8" borderId="7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7" borderId="7" xfId="1" applyFont="1" applyFill="1" applyBorder="1" applyAlignment="1">
      <alignment horizontal="center" vertical="center" wrapText="1"/>
    </xf>
    <xf numFmtId="0" fontId="4" fillId="11" borderId="7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vertical="center" wrapText="1"/>
    </xf>
    <xf numFmtId="164" fontId="4" fillId="0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0" borderId="14" xfId="1" applyNumberFormat="1" applyFont="1" applyFill="1" applyBorder="1" applyAlignment="1">
      <alignment horizontal="center" vertical="center"/>
    </xf>
    <xf numFmtId="164" fontId="4" fillId="2" borderId="14" xfId="1" applyNumberFormat="1" applyFont="1" applyFill="1" applyBorder="1" applyAlignment="1">
      <alignment horizontal="center" vertical="center"/>
    </xf>
    <xf numFmtId="165" fontId="4" fillId="0" borderId="33" xfId="1" applyNumberFormat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center" vertical="center" wrapText="1"/>
    </xf>
    <xf numFmtId="165" fontId="4" fillId="0" borderId="10" xfId="1" applyNumberFormat="1" applyFont="1" applyFill="1" applyBorder="1" applyAlignment="1">
      <alignment horizontal="center" vertical="center" shrinkToFit="1"/>
    </xf>
    <xf numFmtId="164" fontId="4" fillId="2" borderId="3" xfId="1" applyNumberFormat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vertical="center" wrapText="1"/>
    </xf>
    <xf numFmtId="164" fontId="4" fillId="3" borderId="3" xfId="1" applyNumberFormat="1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vertical="center" wrapText="1"/>
    </xf>
    <xf numFmtId="164" fontId="4" fillId="0" borderId="3" xfId="1" applyNumberFormat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/>
    </xf>
    <xf numFmtId="165" fontId="4" fillId="0" borderId="11" xfId="1" applyNumberFormat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16" borderId="7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4" fillId="0" borderId="21" xfId="1" applyFont="1" applyFill="1" applyBorder="1" applyAlignment="1">
      <alignment vertical="center" wrapText="1"/>
    </xf>
    <xf numFmtId="0" fontId="0" fillId="0" borderId="7" xfId="0" applyBorder="1"/>
    <xf numFmtId="0" fontId="4" fillId="0" borderId="7" xfId="1" applyFont="1" applyFill="1" applyBorder="1" applyAlignment="1">
      <alignment vertical="center" wrapText="1"/>
    </xf>
    <xf numFmtId="0" fontId="4" fillId="7" borderId="7" xfId="1" applyFont="1" applyFill="1" applyBorder="1" applyAlignment="1">
      <alignment vertical="center" wrapText="1"/>
    </xf>
    <xf numFmtId="0" fontId="4" fillId="3" borderId="7" xfId="1" applyFont="1" applyFill="1" applyBorder="1" applyAlignment="1">
      <alignment vertical="center" wrapText="1"/>
    </xf>
    <xf numFmtId="0" fontId="4" fillId="16" borderId="7" xfId="1" applyFont="1" applyFill="1" applyBorder="1" applyAlignment="1">
      <alignment vertical="center" wrapText="1"/>
    </xf>
    <xf numFmtId="0" fontId="9" fillId="3" borderId="7" xfId="1" applyFont="1" applyFill="1" applyBorder="1" applyAlignment="1">
      <alignment vertical="center" wrapText="1"/>
    </xf>
    <xf numFmtId="0" fontId="0" fillId="0" borderId="7" xfId="0" applyBorder="1" applyAlignment="1">
      <alignment horizontal="center"/>
    </xf>
    <xf numFmtId="0" fontId="4" fillId="0" borderId="17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vertical="center" wrapText="1"/>
    </xf>
    <xf numFmtId="0" fontId="10" fillId="0" borderId="7" xfId="0" applyFont="1" applyBorder="1"/>
    <xf numFmtId="0" fontId="5" fillId="0" borderId="9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5" fontId="9" fillId="0" borderId="10" xfId="1" applyNumberFormat="1" applyFont="1" applyFill="1" applyBorder="1" applyAlignment="1">
      <alignment horizontal="center" vertical="center" shrinkToFit="1"/>
    </xf>
    <xf numFmtId="0" fontId="4" fillId="0" borderId="21" xfId="1" applyFont="1" applyFill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164" fontId="4" fillId="15" borderId="3" xfId="1" applyNumberFormat="1" applyFont="1" applyFill="1" applyBorder="1" applyAlignment="1">
      <alignment horizontal="center" vertical="center"/>
    </xf>
    <xf numFmtId="0" fontId="4" fillId="7" borderId="21" xfId="1" applyFont="1" applyFill="1" applyBorder="1" applyAlignment="1">
      <alignment vertical="center" wrapText="1"/>
    </xf>
    <xf numFmtId="0" fontId="4" fillId="0" borderId="34" xfId="1" applyFont="1" applyFill="1" applyBorder="1" applyAlignment="1">
      <alignment vertical="center" wrapText="1"/>
    </xf>
    <xf numFmtId="0" fontId="4" fillId="4" borderId="21" xfId="1" applyFont="1" applyFill="1" applyBorder="1" applyAlignment="1">
      <alignment horizontal="left" vertical="center" wrapText="1"/>
    </xf>
    <xf numFmtId="165" fontId="4" fillId="0" borderId="10" xfId="1" applyNumberFormat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vertical="center" wrapText="1"/>
    </xf>
    <xf numFmtId="164" fontId="4" fillId="0" borderId="3" xfId="1" applyNumberFormat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9" xfId="0" applyFont="1" applyBorder="1" applyAlignment="1">
      <alignment horizontal="left" wrapText="1"/>
    </xf>
    <xf numFmtId="0" fontId="9" fillId="0" borderId="21" xfId="1" applyFont="1" applyFill="1" applyBorder="1" applyAlignment="1">
      <alignment vertical="center" wrapText="1"/>
    </xf>
    <xf numFmtId="0" fontId="5" fillId="0" borderId="9" xfId="1" applyFont="1" applyFill="1" applyBorder="1" applyAlignment="1">
      <alignment horizontal="left" vertical="center" wrapText="1"/>
    </xf>
    <xf numFmtId="0" fontId="9" fillId="0" borderId="21" xfId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4" fillId="0" borderId="7" xfId="1" applyFont="1" applyFill="1" applyBorder="1" applyAlignment="1">
      <alignment horizontal="center" vertical="center" wrapText="1"/>
    </xf>
    <xf numFmtId="165" fontId="4" fillId="0" borderId="10" xfId="1" applyNumberFormat="1" applyFont="1" applyFill="1" applyBorder="1" applyAlignment="1">
      <alignment horizontal="center" vertical="center" shrinkToFi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 shrinkToFit="1"/>
    </xf>
    <xf numFmtId="0" fontId="5" fillId="0" borderId="9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vertical="center" wrapText="1"/>
    </xf>
    <xf numFmtId="164" fontId="4" fillId="0" borderId="3" xfId="1" applyNumberFormat="1" applyFont="1" applyFill="1" applyBorder="1" applyAlignment="1">
      <alignment horizontal="center" vertical="center"/>
    </xf>
    <xf numFmtId="0" fontId="14" fillId="0" borderId="0" xfId="1" applyFont="1" applyFill="1" applyAlignment="1">
      <alignment horizontal="left" vertical="center" wrapText="1"/>
    </xf>
    <xf numFmtId="165" fontId="4" fillId="0" borderId="10" xfId="1" applyNumberFormat="1" applyFont="1" applyFill="1" applyBorder="1" applyAlignment="1">
      <alignment horizontal="center" vertical="center" shrinkToFit="1"/>
    </xf>
    <xf numFmtId="165" fontId="4" fillId="0" borderId="10" xfId="1" applyNumberFormat="1" applyFont="1" applyFill="1" applyBorder="1" applyAlignment="1">
      <alignment horizontal="center" vertical="center" shrinkToFit="1"/>
    </xf>
    <xf numFmtId="0" fontId="9" fillId="0" borderId="21" xfId="1" applyFont="1" applyFill="1" applyBorder="1" applyAlignment="1">
      <alignment vertical="center" wrapText="1"/>
    </xf>
    <xf numFmtId="164" fontId="9" fillId="0" borderId="3" xfId="1" applyNumberFormat="1" applyFont="1" applyFill="1" applyBorder="1" applyAlignment="1">
      <alignment horizontal="center" vertical="center"/>
    </xf>
    <xf numFmtId="164" fontId="9" fillId="2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vertical="center" wrapText="1"/>
    </xf>
    <xf numFmtId="0" fontId="5" fillId="0" borderId="9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vertical="center" wrapText="1"/>
    </xf>
    <xf numFmtId="164" fontId="4" fillId="3" borderId="3" xfId="1" applyNumberFormat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vertical="center" wrapText="1"/>
    </xf>
    <xf numFmtId="0" fontId="4" fillId="3" borderId="7" xfId="1" applyFont="1" applyFill="1" applyBorder="1" applyAlignment="1">
      <alignment horizontal="center" vertical="center" wrapText="1"/>
    </xf>
    <xf numFmtId="164" fontId="4" fillId="5" borderId="3" xfId="1" applyNumberFormat="1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 shrinkToFit="1"/>
    </xf>
    <xf numFmtId="0" fontId="5" fillId="0" borderId="9" xfId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164" fontId="4" fillId="4" borderId="3" xfId="1" applyNumberFormat="1" applyFont="1" applyFill="1" applyBorder="1" applyAlignment="1">
      <alignment horizontal="center" vertical="center"/>
    </xf>
    <xf numFmtId="0" fontId="4" fillId="4" borderId="21" xfId="1" applyFont="1" applyFill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165" fontId="4" fillId="0" borderId="10" xfId="1" applyNumberFormat="1" applyFont="1" applyFill="1" applyBorder="1" applyAlignment="1">
      <alignment horizontal="center" vertical="center" shrinkToFi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 shrinkToFit="1"/>
    </xf>
    <xf numFmtId="0" fontId="5" fillId="0" borderId="9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vertical="center" wrapText="1"/>
    </xf>
    <xf numFmtId="0" fontId="4" fillId="3" borderId="7" xfId="1" applyFont="1" applyFill="1" applyBorder="1" applyAlignment="1">
      <alignment horizontal="center" vertical="center" wrapText="1"/>
    </xf>
    <xf numFmtId="164" fontId="4" fillId="6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3" borderId="21" xfId="1" applyFont="1" applyFill="1" applyBorder="1" applyAlignment="1">
      <alignment vertical="center" wrapText="1"/>
    </xf>
    <xf numFmtId="0" fontId="5" fillId="0" borderId="9" xfId="1" applyFont="1" applyFill="1" applyBorder="1" applyAlignment="1">
      <alignment horizontal="left" vertical="center" wrapText="1"/>
    </xf>
    <xf numFmtId="165" fontId="4" fillId="0" borderId="10" xfId="1" applyNumberFormat="1" applyFont="1" applyFill="1" applyBorder="1" applyAlignment="1">
      <alignment horizontal="center" vertical="center" shrinkToFit="1"/>
    </xf>
    <xf numFmtId="165" fontId="9" fillId="0" borderId="10" xfId="1" applyNumberFormat="1" applyFont="1" applyFill="1" applyBorder="1" applyAlignment="1">
      <alignment horizontal="center" vertical="center" shrinkToFit="1"/>
    </xf>
    <xf numFmtId="0" fontId="9" fillId="0" borderId="21" xfId="1" applyFont="1" applyFill="1" applyBorder="1" applyAlignment="1">
      <alignment vertical="center" wrapText="1"/>
    </xf>
    <xf numFmtId="0" fontId="9" fillId="3" borderId="21" xfId="1" applyFont="1" applyFill="1" applyBorder="1" applyAlignment="1">
      <alignment vertical="center" wrapText="1"/>
    </xf>
    <xf numFmtId="164" fontId="9" fillId="2" borderId="3" xfId="1" applyNumberFormat="1" applyFont="1" applyFill="1" applyBorder="1" applyAlignment="1">
      <alignment horizontal="center" vertical="center"/>
    </xf>
    <xf numFmtId="164" fontId="9" fillId="3" borderId="3" xfId="1" applyNumberFormat="1" applyFont="1" applyFill="1" applyBorder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164" fontId="9" fillId="5" borderId="3" xfId="1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64" fontId="9" fillId="13" borderId="3" xfId="1" applyNumberFormat="1" applyFont="1" applyFill="1" applyBorder="1" applyAlignment="1">
      <alignment horizontal="center" vertical="center"/>
    </xf>
    <xf numFmtId="0" fontId="9" fillId="7" borderId="23" xfId="1" applyFont="1" applyFill="1" applyBorder="1" applyAlignment="1">
      <alignment vertical="center" wrapText="1"/>
    </xf>
    <xf numFmtId="164" fontId="9" fillId="3" borderId="2" xfId="1" applyNumberFormat="1" applyFont="1" applyFill="1" applyBorder="1" applyAlignment="1">
      <alignment horizontal="center" vertical="center"/>
    </xf>
    <xf numFmtId="164" fontId="9" fillId="2" borderId="2" xfId="1" applyNumberFormat="1" applyFont="1" applyFill="1" applyBorder="1" applyAlignment="1">
      <alignment horizontal="center" vertical="center"/>
    </xf>
    <xf numFmtId="0" fontId="9" fillId="8" borderId="23" xfId="1" applyFont="1" applyFill="1" applyBorder="1" applyAlignment="1">
      <alignment vertical="center" wrapText="1"/>
    </xf>
    <xf numFmtId="164" fontId="9" fillId="8" borderId="2" xfId="1" applyNumberFormat="1" applyFont="1" applyFill="1" applyBorder="1" applyAlignment="1">
      <alignment horizontal="center" vertical="center"/>
    </xf>
    <xf numFmtId="164" fontId="9" fillId="9" borderId="2" xfId="1" applyNumberFormat="1" applyFont="1" applyFill="1" applyBorder="1" applyAlignment="1">
      <alignment horizontal="center" vertical="center"/>
    </xf>
    <xf numFmtId="164" fontId="9" fillId="7" borderId="2" xfId="1" applyNumberFormat="1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vertical="center" wrapText="1"/>
    </xf>
    <xf numFmtId="0" fontId="15" fillId="0" borderId="2" xfId="2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/>
    </xf>
    <xf numFmtId="4" fontId="12" fillId="0" borderId="7" xfId="0" applyNumberFormat="1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vertical="center" wrapText="1"/>
    </xf>
    <xf numFmtId="164" fontId="4" fillId="0" borderId="3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2" borderId="12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 wrapText="1"/>
    </xf>
    <xf numFmtId="0" fontId="8" fillId="0" borderId="17" xfId="0" applyFont="1" applyBorder="1" applyAlignment="1">
      <alignment horizontal="center" vertical="center"/>
    </xf>
    <xf numFmtId="165" fontId="4" fillId="0" borderId="37" xfId="1" applyNumberFormat="1" applyFont="1" applyFill="1" applyBorder="1" applyAlignment="1">
      <alignment horizontal="center" vertical="center" shrinkToFit="1"/>
    </xf>
    <xf numFmtId="164" fontId="4" fillId="3" borderId="38" xfId="1" applyNumberFormat="1" applyFont="1" applyFill="1" applyBorder="1" applyAlignment="1">
      <alignment horizontal="center" vertical="center"/>
    </xf>
    <xf numFmtId="164" fontId="4" fillId="5" borderId="38" xfId="1" applyNumberFormat="1" applyFont="1" applyFill="1" applyBorder="1" applyAlignment="1">
      <alignment horizontal="center" vertical="center"/>
    </xf>
    <xf numFmtId="164" fontId="4" fillId="0" borderId="38" xfId="1" applyNumberFormat="1" applyFont="1" applyFill="1" applyBorder="1" applyAlignment="1">
      <alignment horizontal="center" vertical="center"/>
    </xf>
    <xf numFmtId="165" fontId="5" fillId="0" borderId="38" xfId="1" applyNumberFormat="1" applyFont="1" applyFill="1" applyBorder="1" applyAlignment="1">
      <alignment horizontal="center" vertical="center"/>
    </xf>
    <xf numFmtId="164" fontId="4" fillId="0" borderId="15" xfId="1" applyNumberFormat="1" applyFont="1" applyFill="1" applyBorder="1" applyAlignment="1">
      <alignment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64" fontId="4" fillId="0" borderId="7" xfId="1" applyNumberFormat="1" applyFont="1" applyFill="1" applyBorder="1" applyAlignment="1">
      <alignment horizontal="center" vertical="center"/>
    </xf>
    <xf numFmtId="165" fontId="4" fillId="0" borderId="18" xfId="1" applyNumberFormat="1" applyFont="1" applyFill="1" applyBorder="1" applyAlignment="1">
      <alignment horizontal="center" vertical="center" shrinkToFit="1"/>
    </xf>
    <xf numFmtId="164" fontId="4" fillId="2" borderId="6" xfId="1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64" fontId="4" fillId="0" borderId="6" xfId="1" applyNumberFormat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165" fontId="4" fillId="0" borderId="10" xfId="1" applyNumberFormat="1" applyFont="1" applyFill="1" applyBorder="1" applyAlignment="1">
      <alignment horizontal="center" vertical="center" shrinkToFit="1"/>
    </xf>
    <xf numFmtId="165" fontId="4" fillId="0" borderId="11" xfId="1" applyNumberFormat="1" applyFont="1" applyFill="1" applyBorder="1" applyAlignment="1">
      <alignment horizontal="center" vertical="center" shrinkToFit="1"/>
    </xf>
    <xf numFmtId="165" fontId="9" fillId="0" borderId="10" xfId="1" applyNumberFormat="1" applyFont="1" applyFill="1" applyBorder="1" applyAlignment="1">
      <alignment horizontal="center" vertical="center" shrinkToFit="1"/>
    </xf>
    <xf numFmtId="0" fontId="4" fillId="4" borderId="7" xfId="1" applyFont="1" applyFill="1" applyBorder="1" applyAlignment="1">
      <alignment horizontal="center" vertical="center" wrapText="1"/>
    </xf>
    <xf numFmtId="164" fontId="4" fillId="4" borderId="3" xfId="1" applyNumberFormat="1" applyFont="1" applyFill="1" applyBorder="1" applyAlignment="1">
      <alignment horizontal="center" vertical="center"/>
    </xf>
    <xf numFmtId="0" fontId="4" fillId="4" borderId="21" xfId="1" applyFont="1" applyFill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5" fillId="7" borderId="0" xfId="1" applyFont="1" applyFill="1" applyAlignment="1">
      <alignment horizontal="left" vertical="center" wrapText="1"/>
    </xf>
    <xf numFmtId="0" fontId="5" fillId="0" borderId="9" xfId="1" applyFont="1" applyFill="1" applyBorder="1" applyAlignment="1">
      <alignment horizontal="left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2" borderId="5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 shrinkToFit="1"/>
    </xf>
    <xf numFmtId="165" fontId="4" fillId="0" borderId="11" xfId="1" applyNumberFormat="1" applyFont="1" applyFill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3" borderId="5" xfId="1" applyNumberFormat="1" applyFont="1" applyFill="1" applyBorder="1" applyAlignment="1">
      <alignment horizontal="center" vertical="center"/>
    </xf>
    <xf numFmtId="164" fontId="4" fillId="0" borderId="6" xfId="1" applyNumberFormat="1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164" fontId="4" fillId="5" borderId="3" xfId="1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9" fillId="0" borderId="21" xfId="1" applyFont="1" applyFill="1" applyBorder="1" applyAlignment="1">
      <alignment vertical="center" wrapText="1"/>
    </xf>
    <xf numFmtId="0" fontId="9" fillId="0" borderId="13" xfId="1" applyFont="1" applyFill="1" applyBorder="1" applyAlignment="1">
      <alignment vertical="center" wrapText="1"/>
    </xf>
    <xf numFmtId="164" fontId="4" fillId="0" borderId="4" xfId="1" applyNumberFormat="1" applyFont="1" applyFill="1" applyBorder="1" applyAlignment="1">
      <alignment horizontal="center" vertical="center"/>
    </xf>
    <xf numFmtId="164" fontId="4" fillId="0" borderId="27" xfId="1" applyNumberFormat="1" applyFont="1" applyFill="1" applyBorder="1" applyAlignment="1">
      <alignment horizontal="center" vertical="center"/>
    </xf>
    <xf numFmtId="164" fontId="4" fillId="0" borderId="28" xfId="1" applyNumberFormat="1" applyFont="1" applyFill="1" applyBorder="1" applyAlignment="1">
      <alignment horizontal="center" vertical="center"/>
    </xf>
    <xf numFmtId="0" fontId="9" fillId="3" borderId="21" xfId="1" applyFont="1" applyFill="1" applyBorder="1" applyAlignment="1">
      <alignment vertical="center" wrapText="1"/>
    </xf>
    <xf numFmtId="0" fontId="9" fillId="3" borderId="13" xfId="1" applyFont="1" applyFill="1" applyBorder="1" applyAlignment="1">
      <alignment vertical="center" wrapText="1"/>
    </xf>
    <xf numFmtId="0" fontId="4" fillId="0" borderId="21" xfId="1" applyFont="1" applyFill="1" applyBorder="1" applyAlignment="1">
      <alignment vertical="center" wrapText="1"/>
    </xf>
    <xf numFmtId="0" fontId="4" fillId="0" borderId="13" xfId="1" applyFont="1" applyFill="1" applyBorder="1" applyAlignment="1">
      <alignment vertical="center" wrapText="1"/>
    </xf>
    <xf numFmtId="0" fontId="4" fillId="3" borderId="21" xfId="1" applyFont="1" applyFill="1" applyBorder="1" applyAlignment="1">
      <alignment vertical="center" wrapText="1"/>
    </xf>
    <xf numFmtId="0" fontId="4" fillId="3" borderId="13" xfId="1" applyFont="1" applyFill="1" applyBorder="1" applyAlignment="1">
      <alignment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165" fontId="9" fillId="0" borderId="10" xfId="1" applyNumberFormat="1" applyFont="1" applyFill="1" applyBorder="1" applyAlignment="1">
      <alignment horizontal="center" vertical="center" shrinkToFit="1"/>
    </xf>
    <xf numFmtId="165" fontId="9" fillId="0" borderId="11" xfId="1" applyNumberFormat="1" applyFont="1" applyFill="1" applyBorder="1" applyAlignment="1">
      <alignment horizontal="center" vertical="center" shrinkToFit="1"/>
    </xf>
    <xf numFmtId="164" fontId="10" fillId="3" borderId="7" xfId="1" applyNumberFormat="1" applyFont="1" applyFill="1" applyBorder="1" applyAlignment="1">
      <alignment horizontal="center" vertical="center"/>
    </xf>
    <xf numFmtId="164" fontId="4" fillId="0" borderId="8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15" xfId="1" applyNumberFormat="1" applyFont="1" applyFill="1" applyBorder="1" applyAlignment="1">
      <alignment horizontal="center" vertical="center"/>
    </xf>
    <xf numFmtId="164" fontId="4" fillId="4" borderId="3" xfId="1" applyNumberFormat="1" applyFont="1" applyFill="1" applyBorder="1" applyAlignment="1">
      <alignment horizontal="center" vertical="center"/>
    </xf>
    <xf numFmtId="164" fontId="4" fillId="4" borderId="5" xfId="1" applyNumberFormat="1" applyFont="1" applyFill="1" applyBorder="1" applyAlignment="1">
      <alignment horizontal="center" vertical="center"/>
    </xf>
    <xf numFmtId="0" fontId="4" fillId="4" borderId="21" xfId="1" applyFont="1" applyFill="1" applyBorder="1" applyAlignment="1">
      <alignment vertical="center" wrapText="1"/>
    </xf>
    <xf numFmtId="0" fontId="4" fillId="4" borderId="13" xfId="1" applyFont="1" applyFill="1" applyBorder="1" applyAlignment="1">
      <alignment vertical="center" wrapText="1"/>
    </xf>
    <xf numFmtId="0" fontId="4" fillId="0" borderId="7" xfId="1" applyFont="1" applyFill="1" applyBorder="1" applyAlignment="1">
      <alignment horizontal="center" vertical="center" wrapText="1"/>
    </xf>
    <xf numFmtId="164" fontId="10" fillId="0" borderId="3" xfId="1" applyNumberFormat="1" applyFont="1" applyFill="1" applyBorder="1" applyAlignment="1">
      <alignment horizontal="center" vertical="center"/>
    </xf>
    <xf numFmtId="164" fontId="10" fillId="0" borderId="5" xfId="1" applyNumberFormat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164" fontId="4" fillId="0" borderId="39" xfId="1" applyNumberFormat="1" applyFont="1" applyFill="1" applyBorder="1" applyAlignment="1">
      <alignment horizontal="center" vertical="center"/>
    </xf>
    <xf numFmtId="164" fontId="4" fillId="0" borderId="40" xfId="1" applyNumberFormat="1" applyFont="1" applyFill="1" applyBorder="1" applyAlignment="1">
      <alignment horizontal="center" vertical="center"/>
    </xf>
    <xf numFmtId="164" fontId="4" fillId="3" borderId="8" xfId="1" applyNumberFormat="1" applyFont="1" applyFill="1" applyBorder="1" applyAlignment="1">
      <alignment horizontal="center" vertical="center"/>
    </xf>
    <xf numFmtId="164" fontId="4" fillId="3" borderId="0" xfId="1" applyNumberFormat="1" applyFont="1" applyFill="1" applyBorder="1" applyAlignment="1">
      <alignment horizontal="center" vertical="center"/>
    </xf>
    <xf numFmtId="164" fontId="4" fillId="3" borderId="15" xfId="1" applyNumberFormat="1" applyFont="1" applyFill="1" applyBorder="1" applyAlignment="1">
      <alignment horizontal="center" vertical="center"/>
    </xf>
    <xf numFmtId="164" fontId="4" fillId="3" borderId="6" xfId="1" applyNumberFormat="1" applyFont="1" applyFill="1" applyBorder="1" applyAlignment="1">
      <alignment horizontal="center" vertical="center"/>
    </xf>
    <xf numFmtId="0" fontId="9" fillId="0" borderId="29" xfId="1" applyFont="1" applyFill="1" applyBorder="1" applyAlignment="1">
      <alignment vertical="center" wrapText="1"/>
    </xf>
    <xf numFmtId="164" fontId="4" fillId="3" borderId="7" xfId="1" applyNumberFormat="1" applyFont="1" applyFill="1" applyBorder="1" applyAlignment="1">
      <alignment horizontal="center" vertical="center"/>
    </xf>
    <xf numFmtId="165" fontId="4" fillId="0" borderId="18" xfId="1" applyNumberFormat="1" applyFont="1" applyFill="1" applyBorder="1" applyAlignment="1">
      <alignment horizontal="center" vertical="center" shrinkToFit="1"/>
    </xf>
    <xf numFmtId="164" fontId="4" fillId="14" borderId="3" xfId="1" applyNumberFormat="1" applyFont="1" applyFill="1" applyBorder="1" applyAlignment="1">
      <alignment horizontal="center" vertical="center"/>
    </xf>
    <xf numFmtId="164" fontId="4" fillId="14" borderId="5" xfId="1" applyNumberFormat="1" applyFont="1" applyFill="1" applyBorder="1" applyAlignment="1">
      <alignment horizontal="center" vertical="center"/>
    </xf>
    <xf numFmtId="164" fontId="4" fillId="18" borderId="3" xfId="1" applyNumberFormat="1" applyFont="1" applyFill="1" applyBorder="1" applyAlignment="1">
      <alignment horizontal="center" vertical="center"/>
    </xf>
    <xf numFmtId="164" fontId="4" fillId="18" borderId="5" xfId="1" applyNumberFormat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vertical="center" wrapText="1"/>
    </xf>
    <xf numFmtId="165" fontId="9" fillId="0" borderId="18" xfId="1" applyNumberFormat="1" applyFont="1" applyFill="1" applyBorder="1" applyAlignment="1">
      <alignment horizontal="center" vertical="center" shrinkToFit="1"/>
    </xf>
    <xf numFmtId="0" fontId="4" fillId="0" borderId="21" xfId="1" applyFont="1" applyFill="1" applyBorder="1" applyAlignment="1">
      <alignment horizontal="left" vertical="center" wrapText="1"/>
    </xf>
    <xf numFmtId="0" fontId="4" fillId="0" borderId="13" xfId="1" applyFont="1" applyFill="1" applyBorder="1" applyAlignment="1">
      <alignment horizontal="left" vertical="center" wrapText="1"/>
    </xf>
    <xf numFmtId="0" fontId="9" fillId="3" borderId="7" xfId="1" applyFont="1" applyFill="1" applyBorder="1" applyAlignment="1">
      <alignment horizontal="center" vertical="center" wrapText="1"/>
    </xf>
    <xf numFmtId="164" fontId="9" fillId="2" borderId="3" xfId="1" applyNumberFormat="1" applyFont="1" applyFill="1" applyBorder="1" applyAlignment="1">
      <alignment horizontal="center" vertical="center"/>
    </xf>
    <xf numFmtId="164" fontId="9" fillId="2" borderId="6" xfId="1" applyNumberFormat="1" applyFont="1" applyFill="1" applyBorder="1" applyAlignment="1">
      <alignment horizontal="center" vertical="center"/>
    </xf>
    <xf numFmtId="164" fontId="9" fillId="3" borderId="3" xfId="1" applyNumberFormat="1" applyFont="1" applyFill="1" applyBorder="1" applyAlignment="1">
      <alignment horizontal="center" vertical="center"/>
    </xf>
    <xf numFmtId="164" fontId="9" fillId="3" borderId="6" xfId="1" applyNumberFormat="1" applyFont="1" applyFill="1" applyBorder="1" applyAlignment="1">
      <alignment horizontal="center" vertical="center"/>
    </xf>
    <xf numFmtId="164" fontId="9" fillId="3" borderId="5" xfId="1" applyNumberFormat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horizontal="left" vertical="center" wrapText="1"/>
    </xf>
    <xf numFmtId="0" fontId="4" fillId="3" borderId="13" xfId="1" applyFont="1" applyFill="1" applyBorder="1" applyAlignment="1">
      <alignment horizontal="left" vertical="center" wrapText="1"/>
    </xf>
    <xf numFmtId="0" fontId="10" fillId="7" borderId="21" xfId="1" applyFont="1" applyFill="1" applyBorder="1" applyAlignment="1">
      <alignment vertical="center" wrapText="1"/>
    </xf>
    <xf numFmtId="0" fontId="10" fillId="7" borderId="13" xfId="1" applyFont="1" applyFill="1" applyBorder="1" applyAlignment="1">
      <alignment vertical="center" wrapText="1"/>
    </xf>
    <xf numFmtId="0" fontId="4" fillId="7" borderId="21" xfId="1" applyFont="1" applyFill="1" applyBorder="1" applyAlignment="1">
      <alignment vertical="center" wrapText="1"/>
    </xf>
    <xf numFmtId="0" fontId="4" fillId="7" borderId="13" xfId="1" applyFont="1" applyFill="1" applyBorder="1" applyAlignment="1">
      <alignment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164" fontId="4" fillId="17" borderId="3" xfId="1" applyNumberFormat="1" applyFont="1" applyFill="1" applyBorder="1" applyAlignment="1">
      <alignment horizontal="center" vertical="center"/>
    </xf>
    <xf numFmtId="164" fontId="4" fillId="17" borderId="6" xfId="1" applyNumberFormat="1" applyFont="1" applyFill="1" applyBorder="1" applyAlignment="1">
      <alignment horizontal="center" vertical="center"/>
    </xf>
    <xf numFmtId="164" fontId="4" fillId="17" borderId="5" xfId="1" applyNumberFormat="1" applyFont="1" applyFill="1" applyBorder="1" applyAlignment="1">
      <alignment horizontal="center" vertical="center"/>
    </xf>
    <xf numFmtId="0" fontId="4" fillId="16" borderId="7" xfId="1" applyFont="1" applyFill="1" applyBorder="1" applyAlignment="1">
      <alignment horizontal="center" vertical="center" wrapText="1"/>
    </xf>
    <xf numFmtId="0" fontId="4" fillId="16" borderId="21" xfId="1" applyFont="1" applyFill="1" applyBorder="1" applyAlignment="1">
      <alignment vertical="center" wrapText="1"/>
    </xf>
    <xf numFmtId="0" fontId="4" fillId="16" borderId="29" xfId="1" applyFont="1" applyFill="1" applyBorder="1" applyAlignment="1">
      <alignment vertical="center" wrapText="1"/>
    </xf>
    <xf numFmtId="0" fontId="4" fillId="16" borderId="13" xfId="1" applyFont="1" applyFill="1" applyBorder="1" applyAlignment="1">
      <alignment vertical="center" wrapText="1"/>
    </xf>
    <xf numFmtId="165" fontId="10" fillId="0" borderId="10" xfId="1" applyNumberFormat="1" applyFont="1" applyFill="1" applyBorder="1" applyAlignment="1">
      <alignment horizontal="center" vertical="center" shrinkToFit="1"/>
    </xf>
    <xf numFmtId="165" fontId="10" fillId="0" borderId="18" xfId="1" applyNumberFormat="1" applyFont="1" applyFill="1" applyBorder="1" applyAlignment="1">
      <alignment horizontal="center" vertical="center" shrinkToFit="1"/>
    </xf>
    <xf numFmtId="165" fontId="10" fillId="0" borderId="11" xfId="1" applyNumberFormat="1" applyFont="1" applyFill="1" applyBorder="1" applyAlignment="1">
      <alignment horizontal="center" vertical="center" shrinkToFit="1"/>
    </xf>
    <xf numFmtId="0" fontId="4" fillId="7" borderId="29" xfId="1" applyFont="1" applyFill="1" applyBorder="1" applyAlignment="1">
      <alignment vertical="center" wrapText="1"/>
    </xf>
    <xf numFmtId="164" fontId="9" fillId="0" borderId="3" xfId="1" applyNumberFormat="1" applyFont="1" applyFill="1" applyBorder="1" applyAlignment="1">
      <alignment horizontal="center" vertical="center"/>
    </xf>
    <xf numFmtId="164" fontId="9" fillId="0" borderId="6" xfId="1" applyNumberFormat="1" applyFont="1" applyFill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center" vertical="center"/>
    </xf>
    <xf numFmtId="164" fontId="4" fillId="16" borderId="3" xfId="1" applyNumberFormat="1" applyFont="1" applyFill="1" applyBorder="1" applyAlignment="1">
      <alignment horizontal="center" vertical="center"/>
    </xf>
    <xf numFmtId="164" fontId="4" fillId="16" borderId="6" xfId="1" applyNumberFormat="1" applyFont="1" applyFill="1" applyBorder="1" applyAlignment="1">
      <alignment horizontal="center" vertical="center"/>
    </xf>
    <xf numFmtId="164" fontId="4" fillId="16" borderId="5" xfId="1" applyNumberFormat="1" applyFont="1" applyFill="1" applyBorder="1" applyAlignment="1">
      <alignment horizontal="center" vertical="center"/>
    </xf>
    <xf numFmtId="0" fontId="9" fillId="7" borderId="34" xfId="1" applyFont="1" applyFill="1" applyBorder="1" applyAlignment="1">
      <alignment horizontal="left" vertical="center" wrapText="1"/>
    </xf>
    <xf numFmtId="0" fontId="9" fillId="7" borderId="41" xfId="1" applyFont="1" applyFill="1" applyBorder="1" applyAlignment="1">
      <alignment horizontal="left" vertical="center" wrapText="1"/>
    </xf>
    <xf numFmtId="0" fontId="9" fillId="7" borderId="36" xfId="1" applyFont="1" applyFill="1" applyBorder="1" applyAlignment="1">
      <alignment horizontal="left" vertical="center" wrapText="1"/>
    </xf>
    <xf numFmtId="164" fontId="4" fillId="3" borderId="4" xfId="1" applyNumberFormat="1" applyFont="1" applyFill="1" applyBorder="1" applyAlignment="1">
      <alignment horizontal="center" vertical="center"/>
    </xf>
    <xf numFmtId="164" fontId="4" fillId="3" borderId="27" xfId="1" applyNumberFormat="1" applyFont="1" applyFill="1" applyBorder="1" applyAlignment="1">
      <alignment horizontal="center" vertical="center"/>
    </xf>
    <xf numFmtId="164" fontId="4" fillId="3" borderId="28" xfId="1" applyNumberFormat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 wrapText="1"/>
    </xf>
    <xf numFmtId="165" fontId="3" fillId="0" borderId="19" xfId="1" applyNumberFormat="1" applyFont="1" applyFill="1" applyBorder="1" applyAlignment="1">
      <alignment horizontal="center" vertical="center" wrapText="1"/>
    </xf>
    <xf numFmtId="165" fontId="3" fillId="0" borderId="7" xfId="1" applyNumberFormat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65" fontId="3" fillId="0" borderId="4" xfId="1" applyNumberFormat="1" applyFont="1" applyFill="1" applyBorder="1" applyAlignment="1">
      <alignment horizontal="center" vertical="center" wrapText="1"/>
    </xf>
    <xf numFmtId="0" fontId="9" fillId="7" borderId="21" xfId="1" applyFont="1" applyFill="1" applyBorder="1" applyAlignment="1">
      <alignment vertical="center" wrapText="1"/>
    </xf>
    <xf numFmtId="0" fontId="9" fillId="7" borderId="13" xfId="1" applyFont="1" applyFill="1" applyBorder="1" applyAlignment="1">
      <alignment vertical="center" wrapText="1"/>
    </xf>
    <xf numFmtId="0" fontId="9" fillId="0" borderId="7" xfId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0" fontId="9" fillId="3" borderId="21" xfId="1" applyFont="1" applyFill="1" applyBorder="1" applyAlignment="1">
      <alignment horizontal="left" vertical="center" wrapText="1"/>
    </xf>
    <xf numFmtId="0" fontId="9" fillId="3" borderId="13" xfId="1" applyFont="1" applyFill="1" applyBorder="1" applyAlignment="1">
      <alignment horizontal="left" vertical="center" wrapText="1"/>
    </xf>
    <xf numFmtId="165" fontId="4" fillId="0" borderId="7" xfId="1" applyNumberFormat="1" applyFont="1" applyFill="1" applyBorder="1" applyAlignment="1">
      <alignment horizontal="center" vertical="center" shrinkToFit="1"/>
    </xf>
    <xf numFmtId="164" fontId="4" fillId="13" borderId="3" xfId="1" applyNumberFormat="1" applyFont="1" applyFill="1" applyBorder="1" applyAlignment="1">
      <alignment horizontal="center" vertical="center"/>
    </xf>
    <xf numFmtId="164" fontId="4" fillId="13" borderId="5" xfId="1" applyNumberFormat="1" applyFont="1" applyFill="1" applyBorder="1" applyAlignment="1">
      <alignment horizontal="center" vertical="center"/>
    </xf>
    <xf numFmtId="164" fontId="4" fillId="12" borderId="3" xfId="1" applyNumberFormat="1" applyFont="1" applyFill="1" applyBorder="1" applyAlignment="1">
      <alignment horizontal="center" vertical="center"/>
    </xf>
    <xf numFmtId="164" fontId="4" fillId="12" borderId="5" xfId="1" applyNumberFormat="1" applyFont="1" applyFill="1" applyBorder="1" applyAlignment="1">
      <alignment horizontal="center" vertical="center"/>
    </xf>
    <xf numFmtId="165" fontId="9" fillId="0" borderId="24" xfId="1" applyNumberFormat="1" applyFont="1" applyFill="1" applyBorder="1" applyAlignment="1">
      <alignment horizontal="center" vertical="center" shrinkToFit="1"/>
    </xf>
    <xf numFmtId="164" fontId="4" fillId="5" borderId="6" xfId="1" applyNumberFormat="1" applyFont="1" applyFill="1" applyBorder="1" applyAlignment="1">
      <alignment horizontal="center" vertical="center"/>
    </xf>
    <xf numFmtId="0" fontId="4" fillId="3" borderId="29" xfId="1" applyFont="1" applyFill="1" applyBorder="1" applyAlignment="1">
      <alignment vertical="center" wrapText="1"/>
    </xf>
    <xf numFmtId="164" fontId="9" fillId="2" borderId="5" xfId="1" applyNumberFormat="1" applyFont="1" applyFill="1" applyBorder="1" applyAlignment="1">
      <alignment horizontal="center" vertical="center"/>
    </xf>
    <xf numFmtId="164" fontId="4" fillId="11" borderId="3" xfId="1" applyNumberFormat="1" applyFont="1" applyFill="1" applyBorder="1" applyAlignment="1">
      <alignment horizontal="center" vertical="center"/>
    </xf>
    <xf numFmtId="164" fontId="4" fillId="11" borderId="5" xfId="1" applyNumberFormat="1" applyFont="1" applyFill="1" applyBorder="1" applyAlignment="1">
      <alignment horizontal="center" vertical="center"/>
    </xf>
    <xf numFmtId="0" fontId="4" fillId="11" borderId="21" xfId="1" applyFont="1" applyFill="1" applyBorder="1" applyAlignment="1">
      <alignment vertical="center" wrapText="1"/>
    </xf>
    <xf numFmtId="0" fontId="4" fillId="11" borderId="13" xfId="1" applyFont="1" applyFill="1" applyBorder="1" applyAlignment="1">
      <alignment vertical="center" wrapText="1"/>
    </xf>
    <xf numFmtId="0" fontId="4" fillId="11" borderId="7" xfId="1" applyFont="1" applyFill="1" applyBorder="1" applyAlignment="1">
      <alignment horizontal="center" vertical="center" wrapText="1"/>
    </xf>
    <xf numFmtId="164" fontId="4" fillId="0" borderId="21" xfId="1" applyNumberFormat="1" applyFont="1" applyFill="1" applyBorder="1" applyAlignment="1">
      <alignment horizontal="center" vertical="center"/>
    </xf>
    <xf numFmtId="164" fontId="4" fillId="0" borderId="13" xfId="1" applyNumberFormat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vertical="center" wrapText="1"/>
    </xf>
    <xf numFmtId="0" fontId="4" fillId="0" borderId="31" xfId="1" applyFont="1" applyFill="1" applyBorder="1" applyAlignment="1">
      <alignment vertical="center" wrapText="1"/>
    </xf>
    <xf numFmtId="164" fontId="4" fillId="3" borderId="12" xfId="1" applyNumberFormat="1" applyFont="1" applyFill="1" applyBorder="1" applyAlignment="1">
      <alignment horizontal="center" vertical="center"/>
    </xf>
    <xf numFmtId="164" fontId="4" fillId="3" borderId="20" xfId="1" applyNumberFormat="1" applyFont="1" applyFill="1" applyBorder="1" applyAlignment="1">
      <alignment horizontal="center" vertical="center"/>
    </xf>
    <xf numFmtId="164" fontId="4" fillId="3" borderId="26" xfId="1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164" fontId="4" fillId="3" borderId="32" xfId="1" applyNumberFormat="1" applyFont="1" applyFill="1" applyBorder="1" applyAlignment="1">
      <alignment horizontal="center" vertical="center"/>
    </xf>
    <xf numFmtId="164" fontId="4" fillId="3" borderId="35" xfId="1" applyNumberFormat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164" fontId="4" fillId="0" borderId="7" xfId="1" applyNumberFormat="1" applyFont="1" applyFill="1" applyBorder="1" applyAlignment="1">
      <alignment horizontal="center" vertical="center"/>
    </xf>
    <xf numFmtId="0" fontId="4" fillId="4" borderId="21" xfId="1" applyFont="1" applyFill="1" applyBorder="1" applyAlignment="1">
      <alignment horizontal="left" vertical="center" wrapText="1"/>
    </xf>
    <xf numFmtId="0" fontId="4" fillId="4" borderId="13" xfId="1" applyFont="1" applyFill="1" applyBorder="1" applyAlignment="1">
      <alignment horizontal="left" vertical="center" wrapText="1"/>
    </xf>
    <xf numFmtId="0" fontId="9" fillId="0" borderId="21" xfId="1" applyFont="1" applyFill="1" applyBorder="1" applyAlignment="1">
      <alignment horizontal="left" vertical="center" wrapText="1"/>
    </xf>
    <xf numFmtId="0" fontId="9" fillId="0" borderId="13" xfId="1" applyFont="1" applyFill="1" applyBorder="1" applyAlignment="1">
      <alignment horizontal="left" vertical="center" wrapText="1"/>
    </xf>
    <xf numFmtId="164" fontId="10" fillId="3" borderId="4" xfId="1" applyNumberFormat="1" applyFont="1" applyFill="1" applyBorder="1" applyAlignment="1">
      <alignment horizontal="center" vertical="center"/>
    </xf>
    <xf numFmtId="164" fontId="10" fillId="3" borderId="27" xfId="1" applyNumberFormat="1" applyFont="1" applyFill="1" applyBorder="1" applyAlignment="1">
      <alignment horizontal="center" vertical="center"/>
    </xf>
    <xf numFmtId="164" fontId="10" fillId="3" borderId="28" xfId="1" applyNumberFormat="1" applyFont="1" applyFill="1" applyBorder="1" applyAlignment="1">
      <alignment horizontal="center" vertical="center"/>
    </xf>
    <xf numFmtId="0" fontId="4" fillId="3" borderId="34" xfId="1" applyFont="1" applyFill="1" applyBorder="1" applyAlignment="1">
      <alignment horizontal="left" vertical="center" wrapText="1"/>
    </xf>
    <xf numFmtId="0" fontId="4" fillId="3" borderId="36" xfId="1" applyFont="1" applyFill="1" applyBorder="1" applyAlignment="1">
      <alignment horizontal="left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4" fillId="3" borderId="19" xfId="1" applyFont="1" applyFill="1" applyBorder="1" applyAlignment="1">
      <alignment horizontal="center" vertical="center" wrapText="1"/>
    </xf>
    <xf numFmtId="0" fontId="4" fillId="15" borderId="34" xfId="1" applyFont="1" applyFill="1" applyBorder="1" applyAlignment="1">
      <alignment horizontal="left" vertical="center" wrapText="1"/>
    </xf>
    <xf numFmtId="0" fontId="4" fillId="15" borderId="36" xfId="1" applyFont="1" applyFill="1" applyBorder="1" applyAlignment="1">
      <alignment horizontal="left" vertical="center" wrapText="1"/>
    </xf>
    <xf numFmtId="164" fontId="4" fillId="15" borderId="3" xfId="1" applyNumberFormat="1" applyFont="1" applyFill="1" applyBorder="1" applyAlignment="1">
      <alignment horizontal="center" vertical="center"/>
    </xf>
    <xf numFmtId="164" fontId="4" fillId="15" borderId="5" xfId="1" applyNumberFormat="1" applyFont="1" applyFill="1" applyBorder="1" applyAlignment="1">
      <alignment horizontal="center" vertical="center"/>
    </xf>
    <xf numFmtId="164" fontId="4" fillId="21" borderId="3" xfId="1" applyNumberFormat="1" applyFont="1" applyFill="1" applyBorder="1" applyAlignment="1">
      <alignment horizontal="center" vertical="center"/>
    </xf>
    <xf numFmtId="164" fontId="4" fillId="21" borderId="5" xfId="1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</cellXfs>
  <cellStyles count="4">
    <cellStyle name="Excel Built-in Currency" xfId="3"/>
    <cellStyle name="Excel Built-in Normal 1" xfId="1"/>
    <cellStyle name="Excel Built-in Normal 2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7"/>
  <sheetViews>
    <sheetView tabSelected="1" view="pageBreakPreview" topLeftCell="A475" zoomScale="60" zoomScaleNormal="80" workbookViewId="0">
      <selection activeCell="Q368" sqref="Q368"/>
    </sheetView>
  </sheetViews>
  <sheetFormatPr defaultColWidth="6.140625" defaultRowHeight="15.75"/>
  <cols>
    <col min="1" max="1" width="7.28515625" style="10" customWidth="1"/>
    <col min="2" max="2" width="35.5703125" style="12" customWidth="1"/>
    <col min="3" max="3" width="11.7109375" style="10" customWidth="1"/>
    <col min="4" max="4" width="11" style="10" customWidth="1"/>
    <col min="5" max="5" width="9" style="10" customWidth="1"/>
    <col min="6" max="6" width="14.140625" style="10" customWidth="1"/>
    <col min="7" max="7" width="17.5703125" style="10" customWidth="1"/>
    <col min="8" max="8" width="0.140625" style="88" customWidth="1"/>
    <col min="9" max="9" width="27.7109375" style="26" customWidth="1"/>
  </cols>
  <sheetData>
    <row r="1" spans="1:9" ht="33.75" customHeight="1">
      <c r="A1" s="571" t="s">
        <v>375</v>
      </c>
      <c r="B1" s="571"/>
      <c r="C1" s="571"/>
      <c r="D1" s="571"/>
      <c r="E1" s="571"/>
      <c r="F1" s="571"/>
      <c r="G1" s="571"/>
      <c r="H1" s="571"/>
      <c r="I1" s="23"/>
    </row>
    <row r="2" spans="1:9" ht="24.75" customHeight="1">
      <c r="A2" s="574" t="s">
        <v>0</v>
      </c>
      <c r="B2" s="575" t="s">
        <v>1</v>
      </c>
      <c r="C2" s="577" t="s">
        <v>2</v>
      </c>
      <c r="D2" s="577"/>
      <c r="E2" s="577" t="s">
        <v>3</v>
      </c>
      <c r="F2" s="579" t="s">
        <v>4</v>
      </c>
      <c r="G2" s="581" t="s">
        <v>309</v>
      </c>
      <c r="H2" s="572" t="s">
        <v>308</v>
      </c>
      <c r="I2" s="23"/>
    </row>
    <row r="3" spans="1:9" ht="27.75" customHeight="1">
      <c r="A3" s="574"/>
      <c r="B3" s="576"/>
      <c r="C3" s="46" t="s">
        <v>374</v>
      </c>
      <c r="D3" s="46" t="s">
        <v>376</v>
      </c>
      <c r="E3" s="578"/>
      <c r="F3" s="580"/>
      <c r="G3" s="582"/>
      <c r="H3" s="573"/>
      <c r="I3" s="373"/>
    </row>
    <row r="4" spans="1:9" ht="18" customHeight="1">
      <c r="A4" s="132">
        <v>1</v>
      </c>
      <c r="B4" s="261" t="s">
        <v>5</v>
      </c>
      <c r="C4" s="169">
        <v>9661</v>
      </c>
      <c r="D4" s="172">
        <f>8220+243+84+220+297+178+222+222</f>
        <v>9686</v>
      </c>
      <c r="E4" s="17">
        <f>C4-D4</f>
        <v>-25</v>
      </c>
      <c r="F4" s="13">
        <v>6.73</v>
      </c>
      <c r="G4" s="319"/>
      <c r="H4" s="170">
        <f>-1.83-1.12-1.19-2.06-5.94-5.94</f>
        <v>-18.080000000000002</v>
      </c>
      <c r="I4" s="3"/>
    </row>
    <row r="5" spans="1:9" ht="39" customHeight="1">
      <c r="A5" s="132">
        <v>2</v>
      </c>
      <c r="B5" s="261" t="s">
        <v>6</v>
      </c>
      <c r="C5" s="40">
        <v>19357</v>
      </c>
      <c r="D5" s="62">
        <f>15409+237+1+163+305+262+227+195+551+185+162+267+238+262+311+441</f>
        <v>19216</v>
      </c>
      <c r="E5" s="17">
        <f>C5-D5</f>
        <v>141</v>
      </c>
      <c r="F5" s="13">
        <v>6.73</v>
      </c>
      <c r="G5" s="461">
        <f>E5*F5+H5</f>
        <v>946.85</v>
      </c>
      <c r="H5" s="85">
        <v>-2.08</v>
      </c>
      <c r="I5" s="3"/>
    </row>
    <row r="6" spans="1:9" ht="45.75" customHeight="1">
      <c r="A6" s="132">
        <v>3</v>
      </c>
      <c r="B6" s="262" t="s">
        <v>298</v>
      </c>
      <c r="C6" s="221">
        <v>6804</v>
      </c>
      <c r="D6" s="220">
        <f>3819+294</f>
        <v>4113</v>
      </c>
      <c r="E6" s="17">
        <f>C6-D6</f>
        <v>2691</v>
      </c>
      <c r="F6" s="13">
        <v>6.73</v>
      </c>
      <c r="G6" s="219">
        <f>E6*F6+H6</f>
        <v>18105.8</v>
      </c>
      <c r="H6" s="85">
        <v>-4.63</v>
      </c>
      <c r="I6" s="222" t="s">
        <v>360</v>
      </c>
    </row>
    <row r="7" spans="1:9" ht="15.75" customHeight="1">
      <c r="A7" s="511">
        <v>4</v>
      </c>
      <c r="B7" s="495" t="s">
        <v>8</v>
      </c>
      <c r="C7" s="481">
        <v>7413</v>
      </c>
      <c r="D7" s="473">
        <f>6692+405+282</f>
        <v>7379</v>
      </c>
      <c r="E7" s="4">
        <v>-165</v>
      </c>
      <c r="F7" s="13">
        <v>6.17</v>
      </c>
      <c r="G7" s="477">
        <f>E7*F7+E8*F8+H7</f>
        <v>313.22000000000003</v>
      </c>
      <c r="H7" s="479">
        <f>-4.71-1.15-2.14</f>
        <v>-8</v>
      </c>
      <c r="I7" s="3"/>
    </row>
    <row r="8" spans="1:9" ht="12.75" customHeight="1">
      <c r="A8" s="511"/>
      <c r="B8" s="496"/>
      <c r="C8" s="482"/>
      <c r="D8" s="474"/>
      <c r="E8" s="4">
        <f>-282+72+72+101+71+78+15+72</f>
        <v>199</v>
      </c>
      <c r="F8" s="13">
        <v>6.73</v>
      </c>
      <c r="G8" s="478"/>
      <c r="H8" s="480"/>
      <c r="I8" s="3"/>
    </row>
    <row r="9" spans="1:9" ht="34.5" customHeight="1">
      <c r="A9" s="132">
        <v>5</v>
      </c>
      <c r="B9" s="263" t="s">
        <v>9</v>
      </c>
      <c r="C9" s="4">
        <v>10381</v>
      </c>
      <c r="D9" s="5">
        <f>8524+29+80+47+923+393+384</f>
        <v>10380</v>
      </c>
      <c r="E9" s="4">
        <f>C9-D9</f>
        <v>1</v>
      </c>
      <c r="F9" s="13">
        <v>6.73</v>
      </c>
      <c r="G9" s="8"/>
      <c r="H9" s="85">
        <f>-4.52-2.21</f>
        <v>-6.7299999999999995</v>
      </c>
      <c r="I9" s="3"/>
    </row>
    <row r="10" spans="1:9" ht="22.5" customHeight="1">
      <c r="A10" s="132">
        <v>6</v>
      </c>
      <c r="B10" s="261" t="s">
        <v>318</v>
      </c>
      <c r="C10" s="128">
        <v>6866</v>
      </c>
      <c r="D10" s="126">
        <f>5585+92+151+77+131+121+101+127+112+127+123+54</f>
        <v>6801</v>
      </c>
      <c r="E10" s="4">
        <f>C10-D10</f>
        <v>65</v>
      </c>
      <c r="F10" s="13">
        <v>6.73</v>
      </c>
      <c r="G10" s="8">
        <f>E10*F10+H10</f>
        <v>437.45000000000005</v>
      </c>
      <c r="H10" s="125"/>
      <c r="I10" s="3"/>
    </row>
    <row r="11" spans="1:9" ht="15.75" customHeight="1">
      <c r="A11" s="511">
        <v>7</v>
      </c>
      <c r="B11" s="495" t="s">
        <v>313</v>
      </c>
      <c r="C11" s="475">
        <v>7684</v>
      </c>
      <c r="D11" s="473">
        <f>930+693+619+401+451+285+621+579+631+474+516+420+287+95</f>
        <v>7002</v>
      </c>
      <c r="E11" s="4">
        <v>-64</v>
      </c>
      <c r="F11" s="13">
        <v>6.17</v>
      </c>
      <c r="G11" s="477">
        <f>E11*F11+E12*F12+H11</f>
        <v>4623.51</v>
      </c>
      <c r="H11" s="85">
        <v>-2.19</v>
      </c>
      <c r="I11" s="472" t="s">
        <v>7</v>
      </c>
    </row>
    <row r="12" spans="1:9" ht="16.5" customHeight="1">
      <c r="A12" s="511"/>
      <c r="B12" s="496"/>
      <c r="C12" s="476"/>
      <c r="D12" s="474"/>
      <c r="E12" s="4">
        <f>73+565-579+631-631+474-474+516-516+420-420+287-287+95-95+687</f>
        <v>746</v>
      </c>
      <c r="F12" s="13">
        <v>6.73</v>
      </c>
      <c r="G12" s="478"/>
      <c r="H12" s="85"/>
      <c r="I12" s="472"/>
    </row>
    <row r="13" spans="1:9">
      <c r="A13" s="585">
        <v>8</v>
      </c>
      <c r="B13" s="583" t="s">
        <v>367</v>
      </c>
      <c r="C13" s="475">
        <v>8017</v>
      </c>
      <c r="D13" s="473">
        <f>4665+539+674+810+155+303+742</f>
        <v>7888</v>
      </c>
      <c r="E13" s="4">
        <v>-188</v>
      </c>
      <c r="F13" s="13">
        <v>5.93</v>
      </c>
      <c r="G13" s="477">
        <f>E13*F13+E14*F14+H13</f>
        <v>995.76000000000033</v>
      </c>
      <c r="H13" s="479">
        <f>-2.98-2.3-4.46-6.34</f>
        <v>-16.079999999999998</v>
      </c>
      <c r="I13" s="472"/>
    </row>
    <row r="14" spans="1:9">
      <c r="A14" s="585"/>
      <c r="B14" s="584"/>
      <c r="C14" s="476"/>
      <c r="D14" s="474"/>
      <c r="E14" s="4">
        <f>7+216+233-303+296+195+248-742+44+4+118</f>
        <v>316</v>
      </c>
      <c r="F14" s="13">
        <v>6.73</v>
      </c>
      <c r="G14" s="478"/>
      <c r="H14" s="480"/>
      <c r="I14" s="472"/>
    </row>
    <row r="15" spans="1:9" ht="14.25" customHeight="1">
      <c r="A15" s="511">
        <v>9</v>
      </c>
      <c r="B15" s="543" t="s">
        <v>335</v>
      </c>
      <c r="C15" s="475">
        <v>16142</v>
      </c>
      <c r="D15" s="473">
        <f>12238+843+810+137+617+742+742</f>
        <v>16129</v>
      </c>
      <c r="E15" s="4">
        <v>-376</v>
      </c>
      <c r="F15" s="13">
        <v>5.93</v>
      </c>
      <c r="G15" s="477">
        <f>E15*F15+E16*F16+H15</f>
        <v>370.0000000000004</v>
      </c>
      <c r="H15" s="479">
        <f>-5.61-6.34-6.34</f>
        <v>-18.29</v>
      </c>
      <c r="I15" s="3"/>
    </row>
    <row r="16" spans="1:9">
      <c r="A16" s="511"/>
      <c r="B16" s="544"/>
      <c r="C16" s="476"/>
      <c r="D16" s="474"/>
      <c r="E16" s="4">
        <f>395-617+360+529-742+396+208-742+8+37+557</f>
        <v>389</v>
      </c>
      <c r="F16" s="13">
        <v>6.73</v>
      </c>
      <c r="G16" s="478"/>
      <c r="H16" s="480"/>
      <c r="I16" s="3"/>
    </row>
    <row r="17" spans="1:10">
      <c r="A17" s="511">
        <v>10</v>
      </c>
      <c r="B17" s="543" t="s">
        <v>10</v>
      </c>
      <c r="C17" s="559">
        <v>20132</v>
      </c>
      <c r="D17" s="473">
        <f>17096+337+324+324+324+324+405+371+371+162</f>
        <v>20038</v>
      </c>
      <c r="E17" s="4">
        <v>-858</v>
      </c>
      <c r="F17" s="13">
        <v>5.93</v>
      </c>
      <c r="G17" s="555">
        <f>E17*F17+E18*F18+E19*F19+H17</f>
        <v>1181.8000000000004</v>
      </c>
      <c r="H17" s="479">
        <f>-5.02-0.92-1.15-3.17-3.17-0.46</f>
        <v>-13.89</v>
      </c>
      <c r="I17" s="3"/>
    </row>
    <row r="18" spans="1:10">
      <c r="A18" s="511"/>
      <c r="B18" s="558"/>
      <c r="C18" s="560"/>
      <c r="D18" s="484"/>
      <c r="E18" s="4">
        <f>659+317-324+336-324+291-324-405-162</f>
        <v>64</v>
      </c>
      <c r="F18" s="13">
        <v>6.17</v>
      </c>
      <c r="G18" s="556"/>
      <c r="H18" s="487"/>
      <c r="I18" s="3"/>
    </row>
    <row r="19" spans="1:10">
      <c r="A19" s="511"/>
      <c r="B19" s="544"/>
      <c r="C19" s="561"/>
      <c r="D19" s="474"/>
      <c r="E19" s="4">
        <f>34+91+62+327-371+355-371+291+236+28+193</f>
        <v>875</v>
      </c>
      <c r="F19" s="13">
        <v>6.73</v>
      </c>
      <c r="G19" s="557"/>
      <c r="H19" s="480"/>
      <c r="I19" s="3"/>
    </row>
    <row r="20" spans="1:10" ht="33" customHeight="1">
      <c r="A20" s="132">
        <v>11</v>
      </c>
      <c r="B20" s="264" t="s">
        <v>11</v>
      </c>
      <c r="C20" s="63">
        <v>5063</v>
      </c>
      <c r="D20" s="62">
        <f>3697+111+117+100+116+225+74+54+115+130+101+158+65</f>
        <v>5063</v>
      </c>
      <c r="E20" s="4">
        <f>C20-D20</f>
        <v>0</v>
      </c>
      <c r="F20" s="13">
        <v>6.73</v>
      </c>
      <c r="G20" s="60"/>
      <c r="H20" s="85"/>
      <c r="I20" s="3"/>
    </row>
    <row r="21" spans="1:10">
      <c r="A21" s="132">
        <v>12</v>
      </c>
      <c r="B21" s="264" t="s">
        <v>12</v>
      </c>
      <c r="C21" s="568" t="s">
        <v>296</v>
      </c>
      <c r="D21" s="569"/>
      <c r="E21" s="569"/>
      <c r="F21" s="569"/>
      <c r="G21" s="570"/>
      <c r="H21" s="249"/>
      <c r="I21" s="24"/>
    </row>
    <row r="22" spans="1:10" ht="31.5">
      <c r="A22" s="470">
        <v>13</v>
      </c>
      <c r="B22" s="469" t="s">
        <v>13</v>
      </c>
      <c r="C22" s="468">
        <v>487</v>
      </c>
      <c r="D22" s="467">
        <f>476+1+9</f>
        <v>486</v>
      </c>
      <c r="E22" s="4">
        <f>C22-D22</f>
        <v>1</v>
      </c>
      <c r="F22" s="13">
        <v>6.73</v>
      </c>
      <c r="G22" s="8">
        <f>E22*F22+H22</f>
        <v>6.73</v>
      </c>
      <c r="H22" s="103"/>
      <c r="I22" s="3"/>
    </row>
    <row r="23" spans="1:10" ht="15" customHeight="1">
      <c r="A23" s="545">
        <v>14</v>
      </c>
      <c r="B23" s="565" t="s">
        <v>14</v>
      </c>
      <c r="C23" s="475">
        <v>2959</v>
      </c>
      <c r="D23" s="473">
        <f>3482+92</f>
        <v>3574</v>
      </c>
      <c r="E23" s="4">
        <v>-1052</v>
      </c>
      <c r="F23" s="13">
        <v>5.93</v>
      </c>
      <c r="G23" s="477"/>
      <c r="H23" s="103"/>
      <c r="I23" s="3"/>
    </row>
    <row r="24" spans="1:10" ht="12" customHeight="1">
      <c r="A24" s="546"/>
      <c r="B24" s="566"/>
      <c r="C24" s="483"/>
      <c r="D24" s="484"/>
      <c r="E24" s="4">
        <f>66+30+8</f>
        <v>104</v>
      </c>
      <c r="F24" s="13">
        <v>6.17</v>
      </c>
      <c r="G24" s="524"/>
      <c r="H24" s="103"/>
      <c r="I24" s="3"/>
    </row>
    <row r="25" spans="1:10" ht="14.25" customHeight="1">
      <c r="A25" s="547"/>
      <c r="B25" s="567"/>
      <c r="C25" s="476"/>
      <c r="D25" s="474"/>
      <c r="E25" s="4">
        <f>23+28+43+72+87+39+37</f>
        <v>329</v>
      </c>
      <c r="F25" s="13">
        <v>6.73</v>
      </c>
      <c r="G25" s="478"/>
      <c r="H25" s="103"/>
      <c r="I25" s="3"/>
    </row>
    <row r="26" spans="1:10">
      <c r="A26" s="288">
        <v>15</v>
      </c>
      <c r="B26" s="265" t="s">
        <v>15</v>
      </c>
      <c r="C26" s="43">
        <v>2</v>
      </c>
      <c r="D26" s="43">
        <v>0</v>
      </c>
      <c r="E26" s="4">
        <f>C26-D26</f>
        <v>2</v>
      </c>
      <c r="F26" s="13">
        <v>5.93</v>
      </c>
      <c r="G26" s="8">
        <f>E26*F26+H26</f>
        <v>11.86</v>
      </c>
      <c r="H26" s="85"/>
      <c r="I26" s="3" t="s">
        <v>16</v>
      </c>
      <c r="J26" s="2"/>
    </row>
    <row r="27" spans="1:10" ht="21.75" customHeight="1">
      <c r="A27" s="132">
        <v>16</v>
      </c>
      <c r="B27" s="266" t="s">
        <v>333</v>
      </c>
      <c r="C27" s="4">
        <v>74</v>
      </c>
      <c r="D27" s="5">
        <f>39+9+8+4+5+4+1</f>
        <v>70</v>
      </c>
      <c r="E27" s="4">
        <f>C27-D27</f>
        <v>4</v>
      </c>
      <c r="F27" s="13">
        <v>6.73</v>
      </c>
      <c r="G27" s="8">
        <f t="shared" ref="G27:G28" si="0">E27*F27+H27</f>
        <v>20.190000000000001</v>
      </c>
      <c r="H27" s="85">
        <v>-6.73</v>
      </c>
      <c r="I27" s="3"/>
    </row>
    <row r="28" spans="1:10">
      <c r="A28" s="289">
        <v>17</v>
      </c>
      <c r="B28" s="267" t="s">
        <v>17</v>
      </c>
      <c r="C28" s="163">
        <v>16680</v>
      </c>
      <c r="D28" s="165">
        <f>10314+310+376+250+596+99+800+37+400+200+93+418+350+228+286+252+222+392+190+328+262</f>
        <v>16403</v>
      </c>
      <c r="E28" s="4">
        <f t="shared" ref="E28" si="1">C28-D28</f>
        <v>277</v>
      </c>
      <c r="F28" s="13">
        <v>6.73</v>
      </c>
      <c r="G28" s="8">
        <f t="shared" si="0"/>
        <v>1857.48</v>
      </c>
      <c r="H28" s="85">
        <f>-5.89-0.84</f>
        <v>-6.7299999999999995</v>
      </c>
      <c r="I28" s="25"/>
    </row>
    <row r="29" spans="1:10">
      <c r="A29" s="551">
        <v>18</v>
      </c>
      <c r="B29" s="552" t="s">
        <v>18</v>
      </c>
      <c r="C29" s="562">
        <v>1484</v>
      </c>
      <c r="D29" s="548">
        <v>1556</v>
      </c>
      <c r="E29" s="4">
        <v>-81</v>
      </c>
      <c r="F29" s="13">
        <v>5.93</v>
      </c>
      <c r="G29" s="477"/>
      <c r="H29" s="479"/>
      <c r="I29" s="3"/>
    </row>
    <row r="30" spans="1:10">
      <c r="A30" s="551"/>
      <c r="B30" s="553"/>
      <c r="C30" s="563"/>
      <c r="D30" s="549"/>
      <c r="E30" s="4">
        <v>3</v>
      </c>
      <c r="F30" s="13">
        <v>6.17</v>
      </c>
      <c r="G30" s="524"/>
      <c r="H30" s="487"/>
      <c r="I30" s="3"/>
    </row>
    <row r="31" spans="1:10">
      <c r="A31" s="551"/>
      <c r="B31" s="554"/>
      <c r="C31" s="564"/>
      <c r="D31" s="550"/>
      <c r="E31" s="4">
        <f>1+4+1</f>
        <v>6</v>
      </c>
      <c r="F31" s="13">
        <v>6.73</v>
      </c>
      <c r="G31" s="478"/>
      <c r="H31" s="480"/>
      <c r="I31" s="3"/>
    </row>
    <row r="32" spans="1:10" ht="30" customHeight="1">
      <c r="A32" s="132">
        <v>19</v>
      </c>
      <c r="B32" s="261" t="s">
        <v>18</v>
      </c>
      <c r="C32" s="128">
        <v>14460</v>
      </c>
      <c r="D32" s="126">
        <f>11774+518+177+324+99+83+14+132+281+276+245+376+129+74</f>
        <v>14502</v>
      </c>
      <c r="E32" s="4">
        <f>C32-D32</f>
        <v>-42</v>
      </c>
      <c r="F32" s="13">
        <v>6.73</v>
      </c>
      <c r="G32" s="367"/>
      <c r="H32" s="85">
        <f>-0.92-5.81-5.78-0.95-1.98</f>
        <v>-15.44</v>
      </c>
      <c r="I32" s="3"/>
    </row>
    <row r="33" spans="1:9" ht="28.5" customHeight="1">
      <c r="A33" s="132">
        <v>20</v>
      </c>
      <c r="B33" s="264" t="s">
        <v>19</v>
      </c>
      <c r="C33" s="145">
        <v>5376</v>
      </c>
      <c r="D33" s="144">
        <f>1847+605+169+877+236+326+594+371</f>
        <v>5025</v>
      </c>
      <c r="E33" s="4">
        <f>C33-D33</f>
        <v>351</v>
      </c>
      <c r="F33" s="13">
        <v>6.73</v>
      </c>
      <c r="G33" s="146">
        <f>E33*F33+H33</f>
        <v>2343.2199999999998</v>
      </c>
      <c r="H33" s="85">
        <f>-6.17-0.63-6.66-2.38-3.17</f>
        <v>-19.009999999999998</v>
      </c>
      <c r="I33" s="29"/>
    </row>
    <row r="34" spans="1:9">
      <c r="A34" s="499">
        <v>21</v>
      </c>
      <c r="B34" s="509" t="s">
        <v>20</v>
      </c>
      <c r="C34" s="507">
        <v>16</v>
      </c>
      <c r="D34" s="507">
        <v>18</v>
      </c>
      <c r="E34" s="4">
        <v>-10</v>
      </c>
      <c r="F34" s="13">
        <v>5.93</v>
      </c>
      <c r="G34" s="477"/>
      <c r="H34" s="479"/>
      <c r="I34" s="3" t="s">
        <v>16</v>
      </c>
    </row>
    <row r="35" spans="1:9">
      <c r="A35" s="499"/>
      <c r="B35" s="510"/>
      <c r="C35" s="508"/>
      <c r="D35" s="508"/>
      <c r="E35" s="4">
        <f>1+3+4</f>
        <v>8</v>
      </c>
      <c r="F35" s="13">
        <v>6.73</v>
      </c>
      <c r="G35" s="478"/>
      <c r="H35" s="480"/>
      <c r="I35" s="3"/>
    </row>
    <row r="36" spans="1:9">
      <c r="A36" s="511">
        <v>22</v>
      </c>
      <c r="B36" s="541" t="s">
        <v>21</v>
      </c>
      <c r="C36" s="475">
        <v>5394</v>
      </c>
      <c r="D36" s="473">
        <f>4000+168+324+134+322</f>
        <v>4948</v>
      </c>
      <c r="E36" s="4">
        <v>-181</v>
      </c>
      <c r="F36" s="13">
        <v>5.93</v>
      </c>
      <c r="G36" s="477">
        <f>E36*F36+E37*F37+H36</f>
        <v>6493.81</v>
      </c>
      <c r="H36" s="479">
        <f>-3.76-0.92-6.16</f>
        <v>-10.84</v>
      </c>
      <c r="I36" s="3" t="s">
        <v>359</v>
      </c>
    </row>
    <row r="37" spans="1:9" ht="31.5">
      <c r="A37" s="511"/>
      <c r="B37" s="542"/>
      <c r="C37" s="476"/>
      <c r="D37" s="474"/>
      <c r="E37" s="4">
        <f>62-322+107+133+357+234+56+499</f>
        <v>1126</v>
      </c>
      <c r="F37" s="13">
        <v>6.73</v>
      </c>
      <c r="G37" s="478"/>
      <c r="H37" s="480"/>
      <c r="I37" s="3" t="s">
        <v>7</v>
      </c>
    </row>
    <row r="38" spans="1:9" ht="16.5" customHeight="1">
      <c r="A38" s="289">
        <v>23</v>
      </c>
      <c r="B38" s="268" t="s">
        <v>22</v>
      </c>
      <c r="C38" s="7">
        <v>499</v>
      </c>
      <c r="D38" s="7">
        <v>472</v>
      </c>
      <c r="E38" s="4">
        <f>C38-D38</f>
        <v>27</v>
      </c>
      <c r="F38" s="13">
        <v>5.93</v>
      </c>
      <c r="G38" s="8">
        <f>E38*F38+H38</f>
        <v>160.10999999999999</v>
      </c>
      <c r="H38" s="85"/>
      <c r="I38" s="3"/>
    </row>
    <row r="39" spans="1:9" ht="30.75" customHeight="1">
      <c r="A39" s="626">
        <v>24</v>
      </c>
      <c r="B39" s="624" t="s">
        <v>23</v>
      </c>
      <c r="C39" s="481">
        <v>119</v>
      </c>
      <c r="D39" s="481">
        <v>100</v>
      </c>
      <c r="E39" s="4">
        <v>-10</v>
      </c>
      <c r="F39" s="13">
        <v>5.93</v>
      </c>
      <c r="G39" s="477">
        <f>E39*F39+E40*F40+H39</f>
        <v>135.87</v>
      </c>
      <c r="H39" s="85"/>
      <c r="I39" s="3"/>
    </row>
    <row r="40" spans="1:9" ht="30.75" customHeight="1">
      <c r="A40" s="627"/>
      <c r="B40" s="625"/>
      <c r="C40" s="482"/>
      <c r="D40" s="482"/>
      <c r="E40" s="4">
        <v>29</v>
      </c>
      <c r="F40" s="13">
        <v>6.73</v>
      </c>
      <c r="G40" s="478"/>
      <c r="H40" s="103"/>
      <c r="I40" s="3"/>
    </row>
    <row r="41" spans="1:9">
      <c r="A41" s="288">
        <v>25</v>
      </c>
      <c r="B41" s="265" t="s">
        <v>24</v>
      </c>
      <c r="C41" s="6">
        <v>4700</v>
      </c>
      <c r="D41" s="6">
        <v>4658</v>
      </c>
      <c r="E41" s="4">
        <f>C41-D41</f>
        <v>42</v>
      </c>
      <c r="F41" s="13">
        <v>5.93</v>
      </c>
      <c r="G41" s="8">
        <f>E41*F41+H41</f>
        <v>249.06</v>
      </c>
      <c r="H41" s="85"/>
      <c r="I41" s="3" t="s">
        <v>16</v>
      </c>
    </row>
    <row r="42" spans="1:9">
      <c r="A42" s="499">
        <v>26</v>
      </c>
      <c r="B42" s="509" t="s">
        <v>25</v>
      </c>
      <c r="C42" s="507">
        <v>350</v>
      </c>
      <c r="D42" s="507">
        <v>365</v>
      </c>
      <c r="E42" s="4">
        <v>-15</v>
      </c>
      <c r="F42" s="13">
        <v>5.93</v>
      </c>
      <c r="G42" s="477"/>
      <c r="H42" s="479"/>
      <c r="I42" s="3"/>
    </row>
    <row r="43" spans="1:9">
      <c r="A43" s="499"/>
      <c r="B43" s="510"/>
      <c r="C43" s="508"/>
      <c r="D43" s="508"/>
      <c r="E43" s="4"/>
      <c r="F43" s="13">
        <v>6.73</v>
      </c>
      <c r="G43" s="478"/>
      <c r="H43" s="480"/>
      <c r="I43" s="3"/>
    </row>
    <row r="44" spans="1:9" ht="34.5" customHeight="1">
      <c r="A44" s="132">
        <v>27</v>
      </c>
      <c r="B44" s="261" t="s">
        <v>26</v>
      </c>
      <c r="C44" s="162">
        <v>6735</v>
      </c>
      <c r="D44" s="164">
        <f>3367+340+313+229+327+268+129+254+281+282+303+248+160+4</f>
        <v>6505</v>
      </c>
      <c r="E44" s="4">
        <f>C44-D44</f>
        <v>230</v>
      </c>
      <c r="F44" s="13">
        <v>6.73</v>
      </c>
      <c r="G44" s="460">
        <f>E44*F44+H44</f>
        <v>1547.9</v>
      </c>
      <c r="H44" s="166"/>
      <c r="I44" s="3"/>
    </row>
    <row r="45" spans="1:9" ht="28.5" customHeight="1">
      <c r="A45" s="132">
        <v>28</v>
      </c>
      <c r="B45" s="261" t="s">
        <v>27</v>
      </c>
      <c r="C45" s="159">
        <v>20497</v>
      </c>
      <c r="D45" s="157">
        <f>16178+347+359+356+373+374+151+11+380+372+420+382+371+274</f>
        <v>20348</v>
      </c>
      <c r="E45" s="4">
        <f>C45-D45</f>
        <v>149</v>
      </c>
      <c r="F45" s="13">
        <v>6.73</v>
      </c>
      <c r="G45" s="156">
        <f>E45*F45+H45</f>
        <v>1002.7700000000001</v>
      </c>
      <c r="H45" s="85"/>
      <c r="I45" s="3"/>
    </row>
    <row r="46" spans="1:9">
      <c r="A46" s="499">
        <v>29</v>
      </c>
      <c r="B46" s="509" t="s">
        <v>342</v>
      </c>
      <c r="C46" s="507">
        <v>1357</v>
      </c>
      <c r="D46" s="507">
        <f>1+50+55+155+153+137+80+186+464</f>
        <v>1281</v>
      </c>
      <c r="E46" s="4">
        <v>-82</v>
      </c>
      <c r="F46" s="13">
        <v>6.17</v>
      </c>
      <c r="G46" s="477">
        <f>E46*F46+E47*F47+H46</f>
        <v>531.67000000000007</v>
      </c>
      <c r="H46" s="479">
        <f>-20.52-5.21</f>
        <v>-25.73</v>
      </c>
      <c r="I46" s="3"/>
    </row>
    <row r="47" spans="1:9">
      <c r="A47" s="499"/>
      <c r="B47" s="510"/>
      <c r="C47" s="508"/>
      <c r="D47" s="508"/>
      <c r="E47" s="4">
        <f>159-80+186+136-186+328-464+79</f>
        <v>158</v>
      </c>
      <c r="F47" s="13">
        <v>6.73</v>
      </c>
      <c r="G47" s="478"/>
      <c r="H47" s="480"/>
      <c r="I47" s="3"/>
    </row>
    <row r="48" spans="1:9">
      <c r="A48" s="381">
        <v>30</v>
      </c>
      <c r="B48" s="382" t="s">
        <v>28</v>
      </c>
      <c r="C48" s="380">
        <v>7111</v>
      </c>
      <c r="D48" s="379">
        <f>6030+123+123+172+186+274+9+169+21</f>
        <v>7107</v>
      </c>
      <c r="E48" s="4">
        <f>C48-D48</f>
        <v>4</v>
      </c>
      <c r="F48" s="13">
        <v>6.73</v>
      </c>
      <c r="G48" s="8">
        <f>E48*F48+H48</f>
        <v>13.460000000000003</v>
      </c>
      <c r="H48" s="85">
        <f>-12.76-0.7</f>
        <v>-13.459999999999999</v>
      </c>
      <c r="I48" s="3"/>
    </row>
    <row r="49" spans="1:9" ht="17.25" customHeight="1">
      <c r="A49" s="132">
        <v>31</v>
      </c>
      <c r="B49" s="261" t="s">
        <v>29</v>
      </c>
      <c r="C49" s="148">
        <v>9112</v>
      </c>
      <c r="D49" s="144">
        <f>8412+165+189+308</f>
        <v>9074</v>
      </c>
      <c r="E49" s="4">
        <f>C49-D49</f>
        <v>38</v>
      </c>
      <c r="F49" s="13">
        <v>6.73</v>
      </c>
      <c r="G49" s="8">
        <f>E49*F49+H49</f>
        <v>255.74</v>
      </c>
      <c r="H49" s="147"/>
      <c r="I49" s="3"/>
    </row>
    <row r="50" spans="1:9" ht="29.25" customHeight="1">
      <c r="A50" s="288">
        <v>32</v>
      </c>
      <c r="B50" s="265" t="s">
        <v>30</v>
      </c>
      <c r="C50" s="6">
        <v>2726</v>
      </c>
      <c r="D50" s="6">
        <v>2644</v>
      </c>
      <c r="E50" s="4">
        <f>C50-D50</f>
        <v>82</v>
      </c>
      <c r="F50" s="13">
        <v>5.93</v>
      </c>
      <c r="G50" s="8">
        <f>E50*F50+H50</f>
        <v>486.26</v>
      </c>
      <c r="H50" s="85"/>
      <c r="I50" s="3" t="s">
        <v>16</v>
      </c>
    </row>
    <row r="51" spans="1:9">
      <c r="A51" s="515">
        <v>33</v>
      </c>
      <c r="B51" s="495" t="s">
        <v>31</v>
      </c>
      <c r="C51" s="475">
        <v>15361</v>
      </c>
      <c r="D51" s="473">
        <f>12252+175+278+142+187+162+162+148+74+487+128+371+148+74+148+74+74+148</f>
        <v>15232</v>
      </c>
      <c r="E51" s="4">
        <v>-42</v>
      </c>
      <c r="F51" s="13">
        <v>6.17</v>
      </c>
      <c r="G51" s="477">
        <f>E51*F51+E52*F52+H51</f>
        <v>846.64000000000021</v>
      </c>
      <c r="H51" s="479">
        <f>-4.15-0.46-0.46-3.96-1.98-6.49-6.56-3.17-3.96-1.98-3.96-1.98-1.98-3.96</f>
        <v>-45.04999999999999</v>
      </c>
      <c r="I51" s="3"/>
    </row>
    <row r="52" spans="1:9">
      <c r="A52" s="515"/>
      <c r="B52" s="496"/>
      <c r="C52" s="476"/>
      <c r="D52" s="474"/>
      <c r="E52" s="4">
        <f>55+95-148+107-74+276+217-487+129-128+244+122-371+111-148+42+43-74+96-148+140-74+59-74+133-148+176</f>
        <v>171</v>
      </c>
      <c r="F52" s="13">
        <v>6.73</v>
      </c>
      <c r="G52" s="478"/>
      <c r="H52" s="480"/>
      <c r="I52" s="3"/>
    </row>
    <row r="53" spans="1:9">
      <c r="A53" s="511">
        <v>34</v>
      </c>
      <c r="B53" s="495" t="s">
        <v>32</v>
      </c>
      <c r="C53" s="481">
        <v>6649</v>
      </c>
      <c r="D53" s="473">
        <f>5585+505+360+115</f>
        <v>6565</v>
      </c>
      <c r="E53" s="4">
        <v>-578</v>
      </c>
      <c r="F53" s="13">
        <v>5.93</v>
      </c>
      <c r="G53" s="477">
        <f>E53*F53+E54*F54+H53</f>
        <v>1017.5200000000002</v>
      </c>
      <c r="H53" s="479">
        <f>-5.35-4.85</f>
        <v>-10.199999999999999</v>
      </c>
      <c r="I53" s="3"/>
    </row>
    <row r="54" spans="1:9">
      <c r="A54" s="511"/>
      <c r="B54" s="496"/>
      <c r="C54" s="482"/>
      <c r="D54" s="474"/>
      <c r="E54" s="4">
        <f>17+27+32-115+11+112+45+89+89+39+62+60+23+19+20+39+93</f>
        <v>662</v>
      </c>
      <c r="F54" s="13">
        <v>6.73</v>
      </c>
      <c r="G54" s="478"/>
      <c r="H54" s="480"/>
      <c r="I54" s="3"/>
    </row>
    <row r="55" spans="1:9">
      <c r="A55" s="511">
        <v>35</v>
      </c>
      <c r="B55" s="495" t="s">
        <v>33</v>
      </c>
      <c r="C55" s="481">
        <v>1422</v>
      </c>
      <c r="D55" s="473">
        <f>913+324+168</f>
        <v>1405</v>
      </c>
      <c r="E55" s="4">
        <v>109</v>
      </c>
      <c r="F55" s="13">
        <v>5.93</v>
      </c>
      <c r="G55" s="477">
        <f>E55*F55+E56*F56+E57*F57+H55</f>
        <v>74.03</v>
      </c>
      <c r="H55" s="479">
        <f>-0.92-6.58</f>
        <v>-7.5</v>
      </c>
      <c r="I55" s="3"/>
    </row>
    <row r="56" spans="1:9">
      <c r="A56" s="511"/>
      <c r="B56" s="529"/>
      <c r="C56" s="521"/>
      <c r="D56" s="484"/>
      <c r="E56" s="4">
        <f>117+99+11-324</f>
        <v>-97</v>
      </c>
      <c r="F56" s="13">
        <v>6.17</v>
      </c>
      <c r="G56" s="524"/>
      <c r="H56" s="487"/>
      <c r="I56" s="3"/>
    </row>
    <row r="57" spans="1:9" ht="27" customHeight="1">
      <c r="A57" s="511"/>
      <c r="B57" s="496"/>
      <c r="C57" s="482"/>
      <c r="D57" s="474"/>
      <c r="E57" s="4">
        <f>4+21+89+48-168+8+3</f>
        <v>5</v>
      </c>
      <c r="F57" s="13">
        <v>6.73</v>
      </c>
      <c r="G57" s="478"/>
      <c r="H57" s="480"/>
      <c r="I57" s="3"/>
    </row>
    <row r="58" spans="1:9">
      <c r="A58" s="500">
        <v>36</v>
      </c>
      <c r="B58" s="539" t="s">
        <v>34</v>
      </c>
      <c r="C58" s="481">
        <v>4641</v>
      </c>
      <c r="D58" s="473">
        <v>4570</v>
      </c>
      <c r="E58" s="4">
        <v>43</v>
      </c>
      <c r="F58" s="13">
        <v>5.93</v>
      </c>
      <c r="G58" s="477">
        <f>E58*F58+E59*F59+H58</f>
        <v>443.42999999999995</v>
      </c>
      <c r="H58" s="85"/>
      <c r="I58" s="3"/>
    </row>
    <row r="59" spans="1:9">
      <c r="A59" s="500"/>
      <c r="B59" s="540"/>
      <c r="C59" s="482"/>
      <c r="D59" s="474"/>
      <c r="E59" s="4">
        <v>28</v>
      </c>
      <c r="F59" s="13">
        <v>6.73</v>
      </c>
      <c r="G59" s="478"/>
      <c r="H59" s="84"/>
      <c r="I59" s="3"/>
    </row>
    <row r="60" spans="1:9">
      <c r="A60" s="511">
        <v>37</v>
      </c>
      <c r="B60" s="495" t="s">
        <v>35</v>
      </c>
      <c r="C60" s="481">
        <v>15709</v>
      </c>
      <c r="D60" s="473">
        <f>13691+1686+721+81+74+74</f>
        <v>16327</v>
      </c>
      <c r="E60" s="4">
        <v>-2350</v>
      </c>
      <c r="F60" s="13">
        <v>5.93</v>
      </c>
      <c r="G60" s="477"/>
      <c r="H60" s="479">
        <f>-2.02-6.3-1.98-1.98</f>
        <v>-12.280000000000001</v>
      </c>
      <c r="I60" s="3"/>
    </row>
    <row r="61" spans="1:9">
      <c r="A61" s="511"/>
      <c r="B61" s="496"/>
      <c r="C61" s="482"/>
      <c r="D61" s="474"/>
      <c r="E61" s="4">
        <f>47+230+137+41+70+199-81+171+125+101+106+78+65-74+91+87+86+84-74+64+179</f>
        <v>1732</v>
      </c>
      <c r="F61" s="13">
        <v>6.73</v>
      </c>
      <c r="G61" s="478"/>
      <c r="H61" s="480"/>
      <c r="I61" s="3"/>
    </row>
    <row r="62" spans="1:9" ht="30.75" customHeight="1">
      <c r="A62" s="132">
        <v>38</v>
      </c>
      <c r="B62" s="266" t="s">
        <v>36</v>
      </c>
      <c r="C62" s="7"/>
      <c r="D62" s="5"/>
      <c r="E62" s="4"/>
      <c r="F62" s="13"/>
      <c r="G62" s="8"/>
      <c r="H62" s="85"/>
      <c r="I62" s="3"/>
    </row>
    <row r="63" spans="1:9" ht="34.5" customHeight="1">
      <c r="A63" s="132">
        <v>39</v>
      </c>
      <c r="B63" s="261" t="s">
        <v>332</v>
      </c>
      <c r="C63" s="79">
        <v>0</v>
      </c>
      <c r="D63" s="78">
        <v>3</v>
      </c>
      <c r="E63" s="4">
        <f>C63-D63</f>
        <v>-3</v>
      </c>
      <c r="F63" s="13">
        <v>6.73</v>
      </c>
      <c r="G63" s="77"/>
      <c r="H63" s="84">
        <f>-19.64-6.71-0.57-5.86</f>
        <v>-32.78</v>
      </c>
      <c r="I63" s="3" t="s">
        <v>361</v>
      </c>
    </row>
    <row r="64" spans="1:9">
      <c r="A64" s="511">
        <v>40</v>
      </c>
      <c r="B64" s="495" t="s">
        <v>37</v>
      </c>
      <c r="C64" s="481">
        <v>26604</v>
      </c>
      <c r="D64" s="473">
        <f>20805+505+127+364+486+486+486+162+742+297+445+445+445+445+445+445+445</f>
        <v>27575</v>
      </c>
      <c r="E64" s="4">
        <v>-104</v>
      </c>
      <c r="F64" s="13">
        <v>6.17</v>
      </c>
      <c r="G64" s="477"/>
      <c r="H64" s="479">
        <f>-39.29-5.15-5.15-5.15-5.15</f>
        <v>-59.889999999999993</v>
      </c>
      <c r="I64" s="3"/>
    </row>
    <row r="65" spans="1:9">
      <c r="A65" s="511"/>
      <c r="B65" s="496"/>
      <c r="C65" s="482"/>
      <c r="D65" s="474"/>
      <c r="E65" s="4">
        <f>5+131-742+603-297+461-445+505-445+343-445-445+250-445+342+16-445+135-445+496</f>
        <v>-867</v>
      </c>
      <c r="F65" s="13">
        <v>6.73</v>
      </c>
      <c r="G65" s="478"/>
      <c r="H65" s="480"/>
      <c r="I65" s="3"/>
    </row>
    <row r="66" spans="1:9" ht="30" customHeight="1">
      <c r="A66" s="132">
        <v>41</v>
      </c>
      <c r="B66" s="269" t="s">
        <v>38</v>
      </c>
      <c r="C66" s="53">
        <v>2994</v>
      </c>
      <c r="D66" s="5">
        <v>3326</v>
      </c>
      <c r="E66" s="4">
        <f>C66-D66</f>
        <v>-332</v>
      </c>
      <c r="F66" s="13">
        <v>5.93</v>
      </c>
      <c r="G66" s="8"/>
      <c r="H66" s="85"/>
      <c r="I66" s="3"/>
    </row>
    <row r="67" spans="1:9" ht="20.25" customHeight="1">
      <c r="A67" s="511">
        <v>42</v>
      </c>
      <c r="B67" s="495" t="s">
        <v>39</v>
      </c>
      <c r="C67" s="481">
        <v>9392</v>
      </c>
      <c r="D67" s="473">
        <f>6685+219+462+366+1+404+371+386+297</f>
        <v>9191</v>
      </c>
      <c r="E67" s="4">
        <v>-9</v>
      </c>
      <c r="F67" s="13">
        <v>6.17</v>
      </c>
      <c r="G67" s="477">
        <f>E67*F67+E68*F68+H67</f>
        <v>1346.3500000000001</v>
      </c>
      <c r="H67" s="479">
        <f>-3.45-1.39-3.17-2.22-1.19</f>
        <v>-11.42</v>
      </c>
      <c r="I67" s="472"/>
    </row>
    <row r="68" spans="1:9">
      <c r="A68" s="511"/>
      <c r="B68" s="496"/>
      <c r="C68" s="482"/>
      <c r="D68" s="474"/>
      <c r="E68" s="4">
        <f>69+289-371+138+270+177-386+121-297+118+2+5+75</f>
        <v>210</v>
      </c>
      <c r="F68" s="13">
        <v>6.73</v>
      </c>
      <c r="G68" s="478"/>
      <c r="H68" s="480"/>
      <c r="I68" s="472"/>
    </row>
    <row r="69" spans="1:9">
      <c r="A69" s="511">
        <v>43</v>
      </c>
      <c r="B69" s="543" t="s">
        <v>40</v>
      </c>
      <c r="C69" s="475">
        <v>25760</v>
      </c>
      <c r="D69" s="473">
        <f>16600+350+500+350+350+350+350+500+500+150+500+916+298+199+487+400+300+400+400+400+400+600+600+300</f>
        <v>26200</v>
      </c>
      <c r="E69" s="4">
        <v>-500</v>
      </c>
      <c r="F69" s="13">
        <v>5.93</v>
      </c>
      <c r="G69" s="477"/>
      <c r="H69" s="479">
        <f>-0.98-5.32-4.46-0.73</f>
        <v>-11.490000000000002</v>
      </c>
      <c r="I69" s="3"/>
    </row>
    <row r="70" spans="1:9">
      <c r="A70" s="511"/>
      <c r="B70" s="558"/>
      <c r="C70" s="483"/>
      <c r="D70" s="484"/>
      <c r="E70" s="4">
        <f>280+248-500+307-500+309-150+404-500</f>
        <v>-102</v>
      </c>
      <c r="F70" s="13">
        <v>6.17</v>
      </c>
      <c r="G70" s="524"/>
      <c r="H70" s="487"/>
      <c r="I70" s="3"/>
    </row>
    <row r="71" spans="1:9">
      <c r="A71" s="511"/>
      <c r="B71" s="544"/>
      <c r="C71" s="476"/>
      <c r="D71" s="474"/>
      <c r="E71" s="4">
        <f>-916+516+300+240+158-298+326-199+304-487+276-400+257+206-300+225-400+401-400+438-400+334-400+502-600+455-600+529-300+319+62</f>
        <v>148</v>
      </c>
      <c r="F71" s="13">
        <v>6.73</v>
      </c>
      <c r="G71" s="478"/>
      <c r="H71" s="480"/>
      <c r="I71" s="3"/>
    </row>
    <row r="72" spans="1:9">
      <c r="A72" s="511">
        <v>44</v>
      </c>
      <c r="B72" s="495" t="s">
        <v>41</v>
      </c>
      <c r="C72" s="481">
        <v>61</v>
      </c>
      <c r="D72" s="473">
        <f>556+350+20</f>
        <v>926</v>
      </c>
      <c r="E72" s="4">
        <v>-860</v>
      </c>
      <c r="F72" s="13">
        <v>5.93</v>
      </c>
      <c r="G72" s="477"/>
      <c r="H72" s="479"/>
      <c r="I72" s="3"/>
    </row>
    <row r="73" spans="1:9">
      <c r="A73" s="511"/>
      <c r="B73" s="529"/>
      <c r="C73" s="521"/>
      <c r="D73" s="484"/>
      <c r="E73" s="4">
        <f>1+2</f>
        <v>3</v>
      </c>
      <c r="F73" s="13">
        <v>6.17</v>
      </c>
      <c r="G73" s="524"/>
      <c r="H73" s="487"/>
      <c r="I73" s="3"/>
    </row>
    <row r="74" spans="1:9">
      <c r="A74" s="511"/>
      <c r="B74" s="496"/>
      <c r="C74" s="482"/>
      <c r="D74" s="474"/>
      <c r="E74" s="4">
        <f>2+2+3+1+1+2-20+1</f>
        <v>-8</v>
      </c>
      <c r="F74" s="13">
        <v>6.73</v>
      </c>
      <c r="G74" s="478"/>
      <c r="H74" s="480"/>
      <c r="I74" s="3"/>
    </row>
    <row r="75" spans="1:9">
      <c r="A75" s="132">
        <v>45</v>
      </c>
      <c r="B75" s="261" t="s">
        <v>42</v>
      </c>
      <c r="C75" s="179">
        <v>7883</v>
      </c>
      <c r="D75" s="178">
        <f>4207+40+608+308+191+1+324+437+58+2+295+401+267+252+222+44+148</f>
        <v>7805</v>
      </c>
      <c r="E75" s="4">
        <f>C75-D75</f>
        <v>78</v>
      </c>
      <c r="F75" s="13">
        <v>6.73</v>
      </c>
      <c r="G75" s="180">
        <f>E75*F75+H75</f>
        <v>487.92000000000007</v>
      </c>
      <c r="H75" s="177">
        <f>-6.39-6.14-2.31-1.27-3.09-4.04-5.94-3.88-3.96</f>
        <v>-37.020000000000003</v>
      </c>
      <c r="I75" s="3"/>
    </row>
    <row r="76" spans="1:9" ht="19.5" customHeight="1">
      <c r="A76" s="533">
        <v>46</v>
      </c>
      <c r="B76" s="493" t="s">
        <v>43</v>
      </c>
      <c r="C76" s="481">
        <v>1829</v>
      </c>
      <c r="D76" s="473">
        <f>67+174+429+186+228+515</f>
        <v>1599</v>
      </c>
      <c r="E76" s="4">
        <v>-186</v>
      </c>
      <c r="F76" s="13">
        <v>6.17</v>
      </c>
      <c r="G76" s="477">
        <f>E76*F76+E77*F77+H76</f>
        <v>1620.1300000000003</v>
      </c>
      <c r="H76" s="85">
        <v>-5.01</v>
      </c>
      <c r="I76" s="472" t="s">
        <v>44</v>
      </c>
    </row>
    <row r="77" spans="1:9">
      <c r="A77" s="533"/>
      <c r="B77" s="494"/>
      <c r="C77" s="482"/>
      <c r="D77" s="474"/>
      <c r="E77" s="4">
        <f>1+41+1+54+63+64+18+170</f>
        <v>412</v>
      </c>
      <c r="F77" s="13">
        <v>6.73</v>
      </c>
      <c r="G77" s="478"/>
      <c r="H77" s="85"/>
      <c r="I77" s="472"/>
    </row>
    <row r="78" spans="1:9">
      <c r="A78" s="511">
        <v>47</v>
      </c>
      <c r="B78" s="495" t="s">
        <v>45</v>
      </c>
      <c r="C78" s="475">
        <v>6048</v>
      </c>
      <c r="D78" s="473">
        <f>4851+303+200+300+100+91+91+214</f>
        <v>6150</v>
      </c>
      <c r="E78" s="4">
        <v>-221</v>
      </c>
      <c r="F78" s="13">
        <v>5.93</v>
      </c>
      <c r="G78" s="477"/>
      <c r="H78" s="479">
        <f>-0.21-4.57-4.57-5.78</f>
        <v>-15.130000000000003</v>
      </c>
      <c r="I78" s="3"/>
    </row>
    <row r="79" spans="1:9">
      <c r="A79" s="511"/>
      <c r="B79" s="529"/>
      <c r="C79" s="483"/>
      <c r="D79" s="484"/>
      <c r="E79" s="4">
        <f>145-200+154-300+162</f>
        <v>-39</v>
      </c>
      <c r="F79" s="13">
        <v>6.17</v>
      </c>
      <c r="G79" s="524"/>
      <c r="H79" s="487"/>
      <c r="I79" s="3"/>
    </row>
    <row r="80" spans="1:9">
      <c r="A80" s="511"/>
      <c r="B80" s="496"/>
      <c r="C80" s="476"/>
      <c r="D80" s="474"/>
      <c r="E80" s="4">
        <f>14+116+53-100+45-91+74+162+49-91+16-214+125</f>
        <v>158</v>
      </c>
      <c r="F80" s="13">
        <v>6.73</v>
      </c>
      <c r="G80" s="478"/>
      <c r="H80" s="480"/>
      <c r="I80" s="3"/>
    </row>
    <row r="81" spans="1:9" ht="28.5" customHeight="1">
      <c r="A81" s="132">
        <v>48</v>
      </c>
      <c r="B81" s="263" t="s">
        <v>365</v>
      </c>
      <c r="C81" s="4">
        <v>9263</v>
      </c>
      <c r="D81" s="5">
        <v>9174</v>
      </c>
      <c r="E81" s="4">
        <f>C81-D81</f>
        <v>89</v>
      </c>
      <c r="F81" s="13">
        <v>6.73</v>
      </c>
      <c r="G81" s="8">
        <f>E81*F81+H81</f>
        <v>598.17000000000007</v>
      </c>
      <c r="H81" s="85">
        <v>-0.8</v>
      </c>
      <c r="I81" s="3"/>
    </row>
    <row r="82" spans="1:9" ht="31.5" customHeight="1">
      <c r="A82" s="132">
        <v>49</v>
      </c>
      <c r="B82" s="261" t="s">
        <v>46</v>
      </c>
      <c r="C82" s="490" t="s">
        <v>296</v>
      </c>
      <c r="D82" s="491"/>
      <c r="E82" s="491"/>
      <c r="F82" s="491"/>
      <c r="G82" s="492"/>
      <c r="H82" s="103">
        <f>-0.5-5.67-0.56-2.31-4.42</f>
        <v>-13.46</v>
      </c>
      <c r="I82" s="36"/>
    </row>
    <row r="83" spans="1:9" ht="31.5">
      <c r="A83" s="511">
        <v>50</v>
      </c>
      <c r="B83" s="531" t="s">
        <v>47</v>
      </c>
      <c r="C83" s="475">
        <v>6349</v>
      </c>
      <c r="D83" s="473">
        <v>5695</v>
      </c>
      <c r="E83" s="4">
        <v>-73</v>
      </c>
      <c r="F83" s="13">
        <v>6.17</v>
      </c>
      <c r="G83" s="477">
        <f>E83*F83+E84*F84+H83</f>
        <v>4440.6000000000004</v>
      </c>
      <c r="H83" s="85">
        <v>-1.7</v>
      </c>
      <c r="I83" s="3" t="s">
        <v>7</v>
      </c>
    </row>
    <row r="84" spans="1:9">
      <c r="A84" s="511"/>
      <c r="B84" s="532"/>
      <c r="C84" s="476"/>
      <c r="D84" s="474"/>
      <c r="E84" s="4">
        <f>38+69+82+76+71+391</f>
        <v>727</v>
      </c>
      <c r="F84" s="13">
        <v>6.73</v>
      </c>
      <c r="G84" s="478"/>
      <c r="H84" s="103"/>
      <c r="I84" s="3"/>
    </row>
    <row r="85" spans="1:9">
      <c r="A85" s="288">
        <v>51</v>
      </c>
      <c r="B85" s="265" t="s">
        <v>48</v>
      </c>
      <c r="C85" s="6">
        <v>2843</v>
      </c>
      <c r="D85" s="6">
        <v>2904</v>
      </c>
      <c r="E85" s="4">
        <f>C85-D85</f>
        <v>-61</v>
      </c>
      <c r="F85" s="13">
        <v>5.93</v>
      </c>
      <c r="G85" s="8"/>
      <c r="H85" s="85">
        <v>-0.8</v>
      </c>
      <c r="I85" s="3"/>
    </row>
    <row r="86" spans="1:9">
      <c r="A86" s="511">
        <v>52</v>
      </c>
      <c r="B86" s="495" t="s">
        <v>49</v>
      </c>
      <c r="C86" s="475">
        <v>17595</v>
      </c>
      <c r="D86" s="473">
        <f>13560+1000+1000+2386</f>
        <v>17946</v>
      </c>
      <c r="E86" s="4">
        <v>-300</v>
      </c>
      <c r="F86" s="13">
        <v>5.93</v>
      </c>
      <c r="G86" s="477"/>
      <c r="H86" s="479">
        <v>-2.2200000000000002</v>
      </c>
      <c r="I86" s="3"/>
    </row>
    <row r="87" spans="1:9">
      <c r="A87" s="511"/>
      <c r="B87" s="529"/>
      <c r="C87" s="483"/>
      <c r="D87" s="484"/>
      <c r="E87" s="4">
        <f>352-1000+224+184+113</f>
        <v>-127</v>
      </c>
      <c r="F87" s="13">
        <v>6.17</v>
      </c>
      <c r="G87" s="524"/>
      <c r="H87" s="487"/>
      <c r="I87" s="3"/>
    </row>
    <row r="88" spans="1:9">
      <c r="A88" s="511"/>
      <c r="B88" s="496"/>
      <c r="C88" s="476"/>
      <c r="D88" s="474"/>
      <c r="E88" s="4">
        <f>8+360+288-2386+307+328+361+37+3+770</f>
        <v>76</v>
      </c>
      <c r="F88" s="13">
        <v>6.73</v>
      </c>
      <c r="G88" s="478"/>
      <c r="H88" s="480"/>
      <c r="I88" s="3"/>
    </row>
    <row r="89" spans="1:9">
      <c r="A89" s="511">
        <v>53</v>
      </c>
      <c r="B89" s="495" t="s">
        <v>50</v>
      </c>
      <c r="C89" s="475">
        <v>923</v>
      </c>
      <c r="D89" s="473">
        <f>788+46+70</f>
        <v>904</v>
      </c>
      <c r="E89" s="4">
        <v>-11</v>
      </c>
      <c r="F89" s="13">
        <v>5.93</v>
      </c>
      <c r="G89" s="477">
        <f>E89*F89+E90*F90+E91*F91+H89</f>
        <v>134.60000000000002</v>
      </c>
      <c r="H89" s="85">
        <f>-1.59-0.48</f>
        <v>-2.0700000000000003</v>
      </c>
      <c r="I89" s="3"/>
    </row>
    <row r="90" spans="1:9">
      <c r="A90" s="511"/>
      <c r="B90" s="529"/>
      <c r="C90" s="483"/>
      <c r="D90" s="484"/>
      <c r="E90" s="4">
        <v>0</v>
      </c>
      <c r="F90" s="13">
        <v>6.17</v>
      </c>
      <c r="G90" s="524"/>
      <c r="H90" s="85"/>
      <c r="I90" s="3"/>
    </row>
    <row r="91" spans="1:9">
      <c r="A91" s="511"/>
      <c r="B91" s="496"/>
      <c r="C91" s="476"/>
      <c r="D91" s="474"/>
      <c r="E91" s="4">
        <f>46+34+1+5-70+12+2</f>
        <v>30</v>
      </c>
      <c r="F91" s="13">
        <v>6.73</v>
      </c>
      <c r="G91" s="478"/>
      <c r="H91" s="85"/>
      <c r="I91" s="3"/>
    </row>
    <row r="92" spans="1:9" ht="17.25" customHeight="1">
      <c r="A92" s="533">
        <v>54</v>
      </c>
      <c r="B92" s="493" t="s">
        <v>51</v>
      </c>
      <c r="C92" s="536">
        <v>112244</v>
      </c>
      <c r="D92" s="473">
        <f>86247+550+568+421+674+675+674+447+421+12+383+476+4+498+676+1019+648+1931+297+1309+690+1485+647+664+445+448+587+494+298+621+757+279+1525+2345+1385+614+620</f>
        <v>111834</v>
      </c>
      <c r="E92" s="4">
        <v>-354</v>
      </c>
      <c r="F92" s="13">
        <v>6.17</v>
      </c>
      <c r="G92" s="501">
        <f>E92*F92+E93*F93+H92</f>
        <v>2893.4900000000002</v>
      </c>
      <c r="H92" s="479">
        <f>-26.09-3.96-0.49-0.38-6.46-6.67-0.39-6.33-6.15-5.95-0.78-0.4</f>
        <v>-64.05</v>
      </c>
      <c r="I92" s="472"/>
    </row>
    <row r="93" spans="1:9">
      <c r="A93" s="533"/>
      <c r="B93" s="494"/>
      <c r="C93" s="538"/>
      <c r="D93" s="474"/>
      <c r="E93" s="4">
        <f>1758-1931-297-1309+2307-690+1845-1485+378-647+767-664+580-445+575-448+619-587+474-494+310-298-621+482-757+942-279+1655-1525+2353-2345+1272-1385+838-614+524-620+526</f>
        <v>764</v>
      </c>
      <c r="F93" s="13">
        <v>6.73</v>
      </c>
      <c r="G93" s="502"/>
      <c r="H93" s="480"/>
      <c r="I93" s="472"/>
    </row>
    <row r="94" spans="1:9">
      <c r="A94" s="511">
        <v>55</v>
      </c>
      <c r="B94" s="495" t="s">
        <v>52</v>
      </c>
      <c r="C94" s="475">
        <v>37618</v>
      </c>
      <c r="D94" s="473">
        <f>32143+500+1500+500+163+32+452+500+2000</f>
        <v>37790</v>
      </c>
      <c r="E94" s="4">
        <v>-996</v>
      </c>
      <c r="F94" s="13">
        <v>5.93</v>
      </c>
      <c r="G94" s="501"/>
      <c r="H94" s="479">
        <f>-3.79-5.6</f>
        <v>-9.39</v>
      </c>
      <c r="I94" s="472"/>
    </row>
    <row r="95" spans="1:9">
      <c r="A95" s="511"/>
      <c r="B95" s="496"/>
      <c r="C95" s="476"/>
      <c r="D95" s="474"/>
      <c r="E95" s="4">
        <f>72+499+360+400+376-452-500+318-2000+546+802+32+371</f>
        <v>824</v>
      </c>
      <c r="F95" s="13">
        <v>6.73</v>
      </c>
      <c r="G95" s="502"/>
      <c r="H95" s="480"/>
      <c r="I95" s="472"/>
    </row>
    <row r="96" spans="1:9" ht="32.25" customHeight="1">
      <c r="A96" s="313">
        <v>56</v>
      </c>
      <c r="B96" s="315" t="s">
        <v>53</v>
      </c>
      <c r="C96" s="316">
        <v>14127</v>
      </c>
      <c r="D96" s="314">
        <f>10383+508+190+513+263+536+888+555</f>
        <v>13836</v>
      </c>
      <c r="E96" s="4">
        <f>C96-D96</f>
        <v>291</v>
      </c>
      <c r="F96" s="13">
        <v>6.73</v>
      </c>
      <c r="G96" s="312">
        <f>E96*F96+H96</f>
        <v>1958.43</v>
      </c>
      <c r="H96" s="318"/>
      <c r="I96" s="36"/>
    </row>
    <row r="97" spans="1:9" ht="21.75" customHeight="1">
      <c r="A97" s="289">
        <v>57</v>
      </c>
      <c r="B97" s="263" t="s">
        <v>54</v>
      </c>
      <c r="C97" s="4">
        <v>5447</v>
      </c>
      <c r="D97" s="5">
        <f>4494+38+112+90+105+157+60+67+34+48+29+45+152+4+4</f>
        <v>5439</v>
      </c>
      <c r="E97" s="4">
        <f>C97-D97</f>
        <v>8</v>
      </c>
      <c r="F97" s="13">
        <v>6.73</v>
      </c>
      <c r="G97" s="460">
        <f>E97*F97+H97</f>
        <v>40.950000000000003</v>
      </c>
      <c r="H97" s="85">
        <f>-0.6-6.13-3.08-3.08</f>
        <v>-12.889999999999999</v>
      </c>
      <c r="I97" s="3"/>
    </row>
    <row r="98" spans="1:9" ht="21" customHeight="1">
      <c r="A98" s="511">
        <v>58</v>
      </c>
      <c r="B98" s="495" t="s">
        <v>55</v>
      </c>
      <c r="C98" s="475">
        <v>8248</v>
      </c>
      <c r="D98" s="473">
        <f>440+810+810+810+101+650+742+742+742+742+742+742</f>
        <v>8073</v>
      </c>
      <c r="E98" s="4">
        <v>-1017</v>
      </c>
      <c r="F98" s="13">
        <v>5.93</v>
      </c>
      <c r="G98" s="477">
        <f>E98*F98+E99*F99+H98</f>
        <v>1719.2400000000011</v>
      </c>
      <c r="H98" s="479">
        <f>-7.35-2.3-2.33-6.34-6.34-6.34-6.34-6.34-6.34</f>
        <v>-50.02000000000001</v>
      </c>
      <c r="I98" s="3" t="s">
        <v>310</v>
      </c>
    </row>
    <row r="99" spans="1:9">
      <c r="A99" s="511"/>
      <c r="B99" s="496"/>
      <c r="C99" s="476"/>
      <c r="D99" s="474"/>
      <c r="E99" s="4">
        <f>1120-650+219+315-742+454+470-742+349-742+367+188+332-742+325+403-742+464+119+416-742+270+450</f>
        <v>1159</v>
      </c>
      <c r="F99" s="13">
        <v>6.73</v>
      </c>
      <c r="G99" s="478"/>
      <c r="H99" s="480"/>
      <c r="I99" s="3"/>
    </row>
    <row r="100" spans="1:9" ht="24.75" customHeight="1">
      <c r="A100" s="511">
        <v>59</v>
      </c>
      <c r="B100" s="495" t="s">
        <v>368</v>
      </c>
      <c r="C100" s="536">
        <v>2838</v>
      </c>
      <c r="D100" s="534">
        <f>292+243+358+291+416+300+300</f>
        <v>2200</v>
      </c>
      <c r="E100" s="22">
        <v>-183</v>
      </c>
      <c r="F100" s="176">
        <v>5.93</v>
      </c>
      <c r="G100" s="477">
        <f>E100*F100+E101*F101+H100</f>
        <v>4434.1399999999994</v>
      </c>
      <c r="H100" s="479">
        <f>-0.69-5.31</f>
        <v>-6</v>
      </c>
      <c r="I100" s="3" t="s">
        <v>310</v>
      </c>
    </row>
    <row r="101" spans="1:9" ht="28.5" customHeight="1">
      <c r="A101" s="511"/>
      <c r="B101" s="529"/>
      <c r="C101" s="537"/>
      <c r="D101" s="535"/>
      <c r="E101" s="22">
        <f>-191+641-416+231-300+194+243-300+184+42+21+63+409</f>
        <v>821</v>
      </c>
      <c r="F101" s="176">
        <v>6.73</v>
      </c>
      <c r="G101" s="478"/>
      <c r="H101" s="487"/>
      <c r="I101" s="3" t="s">
        <v>7</v>
      </c>
    </row>
    <row r="102" spans="1:9" ht="47.25">
      <c r="A102" s="339">
        <v>60</v>
      </c>
      <c r="B102" s="346" t="s">
        <v>56</v>
      </c>
      <c r="C102" s="345">
        <v>1577</v>
      </c>
      <c r="D102" s="340">
        <f>522+594</f>
        <v>1116</v>
      </c>
      <c r="E102" s="4">
        <f>C102-D102</f>
        <v>461</v>
      </c>
      <c r="F102" s="13">
        <v>6.73</v>
      </c>
      <c r="G102" s="342">
        <f>E102*F102+H102</f>
        <v>3102.53</v>
      </c>
      <c r="H102" s="344"/>
      <c r="I102" s="338" t="s">
        <v>377</v>
      </c>
    </row>
    <row r="103" spans="1:9">
      <c r="A103" s="511">
        <v>61</v>
      </c>
      <c r="B103" s="488" t="s">
        <v>57</v>
      </c>
      <c r="C103" s="481">
        <v>13645</v>
      </c>
      <c r="D103" s="473">
        <f>10755+337+243+311+243+297+297+371+742</f>
        <v>13596</v>
      </c>
      <c r="E103" s="4">
        <v>-50</v>
      </c>
      <c r="F103" s="13">
        <v>5.93</v>
      </c>
      <c r="G103" s="501">
        <f>E103*F103+E104*F104+E105*F105+H103</f>
        <v>413.39000000000021</v>
      </c>
      <c r="H103" s="479">
        <f>-6.52-0.69-1.19-1.19-3.17-6.34</f>
        <v>-19.099999999999998</v>
      </c>
      <c r="I103" s="3"/>
    </row>
    <row r="104" spans="1:9">
      <c r="A104" s="511"/>
      <c r="B104" s="522"/>
      <c r="C104" s="521"/>
      <c r="D104" s="484"/>
      <c r="E104" s="4">
        <f>360-243-311+206+68+51-243</f>
        <v>-112</v>
      </c>
      <c r="F104" s="13">
        <v>6.17</v>
      </c>
      <c r="G104" s="530"/>
      <c r="H104" s="487"/>
      <c r="I104" s="3"/>
    </row>
    <row r="105" spans="1:9">
      <c r="A105" s="511"/>
      <c r="B105" s="489"/>
      <c r="C105" s="482"/>
      <c r="D105" s="474"/>
      <c r="E105" s="4">
        <f>8+130+131-371+708-742+76+271</f>
        <v>211</v>
      </c>
      <c r="F105" s="13">
        <v>6.73</v>
      </c>
      <c r="G105" s="502"/>
      <c r="H105" s="480"/>
      <c r="I105" s="3"/>
    </row>
    <row r="106" spans="1:9">
      <c r="A106" s="511">
        <v>62</v>
      </c>
      <c r="B106" s="495" t="s">
        <v>300</v>
      </c>
      <c r="C106" s="475">
        <v>14204</v>
      </c>
      <c r="D106" s="473">
        <f>11296+150+247+347+392+330+81+297+155+371+297+148</f>
        <v>14111</v>
      </c>
      <c r="E106" s="4">
        <v>-74</v>
      </c>
      <c r="F106" s="13">
        <v>6.17</v>
      </c>
      <c r="G106" s="477">
        <f>E106*F106+E107*F107+H106</f>
        <v>651.22000000000014</v>
      </c>
      <c r="H106" s="479">
        <f>-0.23-1.19-6.37-3.17-1.19-3.96</f>
        <v>-16.11</v>
      </c>
      <c r="I106" s="3"/>
    </row>
    <row r="107" spans="1:9">
      <c r="A107" s="511"/>
      <c r="B107" s="496"/>
      <c r="C107" s="476"/>
      <c r="D107" s="474"/>
      <c r="E107" s="4">
        <f>64-297+457-155+318-371-297+296+151-148+22+5+122</f>
        <v>167</v>
      </c>
      <c r="F107" s="13">
        <v>6.73</v>
      </c>
      <c r="G107" s="478"/>
      <c r="H107" s="480"/>
      <c r="I107" s="3"/>
    </row>
    <row r="108" spans="1:9" ht="31.5">
      <c r="A108" s="132">
        <v>63</v>
      </c>
      <c r="B108" s="261" t="s">
        <v>58</v>
      </c>
      <c r="C108" s="188">
        <v>7002</v>
      </c>
      <c r="D108" s="186">
        <f>3592+638+252+855+422+962+163+31</f>
        <v>6915</v>
      </c>
      <c r="E108" s="4">
        <f>C108-D108</f>
        <v>87</v>
      </c>
      <c r="F108" s="13">
        <v>6.73</v>
      </c>
      <c r="G108" s="187">
        <f>E108*F108+H108</f>
        <v>585.51</v>
      </c>
      <c r="H108" s="85"/>
      <c r="I108" s="29"/>
    </row>
    <row r="109" spans="1:9" ht="31.5">
      <c r="A109" s="289">
        <v>64</v>
      </c>
      <c r="B109" s="267" t="s">
        <v>59</v>
      </c>
      <c r="C109" s="127">
        <v>4019</v>
      </c>
      <c r="D109" s="126">
        <f>2139+695+142+162+83+72+297+297</f>
        <v>3887</v>
      </c>
      <c r="E109" s="4">
        <f>C109-D109</f>
        <v>132</v>
      </c>
      <c r="F109" s="13">
        <v>6.73</v>
      </c>
      <c r="G109" s="124">
        <f>E109*F109+H109</f>
        <v>879.68000000000006</v>
      </c>
      <c r="H109" s="85">
        <f>-6.3-1.19-1.19</f>
        <v>-8.68</v>
      </c>
      <c r="I109" s="3"/>
    </row>
    <row r="110" spans="1:9">
      <c r="A110" s="511">
        <v>65</v>
      </c>
      <c r="B110" s="495" t="s">
        <v>339</v>
      </c>
      <c r="C110" s="475">
        <v>6702</v>
      </c>
      <c r="D110" s="473">
        <f>5624+168+406+222+222</f>
        <v>6642</v>
      </c>
      <c r="E110" s="4">
        <v>-5</v>
      </c>
      <c r="F110" s="13">
        <v>5.93</v>
      </c>
      <c r="G110" s="477">
        <f>E110*F110+E111*F111+H110</f>
        <v>391.00000000000006</v>
      </c>
      <c r="H110" s="479">
        <f>-3.21-0.92-5.94</f>
        <v>-10.07</v>
      </c>
      <c r="I110" s="3"/>
    </row>
    <row r="111" spans="1:9">
      <c r="A111" s="511"/>
      <c r="B111" s="496"/>
      <c r="C111" s="476"/>
      <c r="D111" s="474"/>
      <c r="E111" s="4">
        <f>7+4+7+32-222+65+102+76+72+77-222+5+4+22+35</f>
        <v>64</v>
      </c>
      <c r="F111" s="13">
        <v>6.73</v>
      </c>
      <c r="G111" s="478"/>
      <c r="H111" s="480"/>
      <c r="I111" s="3"/>
    </row>
    <row r="112" spans="1:9" ht="30.75" customHeight="1">
      <c r="A112" s="132">
        <v>66</v>
      </c>
      <c r="B112" s="261" t="s">
        <v>60</v>
      </c>
      <c r="C112" s="504" t="s">
        <v>296</v>
      </c>
      <c r="D112" s="505"/>
      <c r="E112" s="505"/>
      <c r="F112" s="505"/>
      <c r="G112" s="505"/>
      <c r="H112" s="506"/>
      <c r="I112" s="29"/>
    </row>
    <row r="113" spans="1:9" ht="33" customHeight="1">
      <c r="A113" s="289">
        <v>67</v>
      </c>
      <c r="B113" s="270" t="s">
        <v>61</v>
      </c>
      <c r="C113" s="523" t="s">
        <v>296</v>
      </c>
      <c r="D113" s="523"/>
      <c r="E113" s="523"/>
      <c r="F113" s="523"/>
      <c r="G113" s="523"/>
      <c r="H113" s="523"/>
      <c r="I113" s="3"/>
    </row>
    <row r="114" spans="1:9">
      <c r="A114" s="132">
        <v>68</v>
      </c>
      <c r="B114" s="261" t="s">
        <v>62</v>
      </c>
      <c r="C114" s="256">
        <v>1080</v>
      </c>
      <c r="D114" s="255">
        <f>571+148</f>
        <v>719</v>
      </c>
      <c r="E114" s="4">
        <f>C114-D114</f>
        <v>361</v>
      </c>
      <c r="F114" s="13">
        <v>6.73</v>
      </c>
      <c r="G114" s="8">
        <f>E114*F114+H114</f>
        <v>2424.46</v>
      </c>
      <c r="H114" s="254">
        <f>-1.11-3.96</f>
        <v>-5.07</v>
      </c>
      <c r="I114" s="3" t="s">
        <v>343</v>
      </c>
    </row>
    <row r="115" spans="1:9" ht="31.5">
      <c r="A115" s="132">
        <v>69</v>
      </c>
      <c r="B115" s="261" t="s">
        <v>369</v>
      </c>
      <c r="C115" s="236">
        <v>587</v>
      </c>
      <c r="D115" s="234">
        <f>371-20</f>
        <v>351</v>
      </c>
      <c r="E115" s="4">
        <f>C115-D115</f>
        <v>236</v>
      </c>
      <c r="F115" s="13">
        <v>6.73</v>
      </c>
      <c r="G115" s="8">
        <f>E115*F115+H115</f>
        <v>1585.1100000000001</v>
      </c>
      <c r="H115" s="232">
        <v>-3.17</v>
      </c>
      <c r="I115" s="3" t="s">
        <v>343</v>
      </c>
    </row>
    <row r="116" spans="1:9" ht="22.5" customHeight="1">
      <c r="A116" s="499">
        <v>70</v>
      </c>
      <c r="B116" s="617" t="s">
        <v>63</v>
      </c>
      <c r="C116" s="507">
        <v>2875</v>
      </c>
      <c r="D116" s="507">
        <v>2646</v>
      </c>
      <c r="E116" s="4">
        <v>103</v>
      </c>
      <c r="F116" s="13">
        <v>5.93</v>
      </c>
      <c r="G116" s="477">
        <f>E116*F116+E117*F117+H116</f>
        <v>1458.77</v>
      </c>
      <c r="H116" s="85"/>
      <c r="I116" s="3" t="s">
        <v>16</v>
      </c>
    </row>
    <row r="117" spans="1:9" ht="22.5" customHeight="1">
      <c r="A117" s="499"/>
      <c r="B117" s="618"/>
      <c r="C117" s="508"/>
      <c r="D117" s="508"/>
      <c r="E117" s="4">
        <f>30+25+36+35</f>
        <v>126</v>
      </c>
      <c r="F117" s="13">
        <v>6.73</v>
      </c>
      <c r="G117" s="478"/>
      <c r="H117" s="103"/>
      <c r="I117" s="3"/>
    </row>
    <row r="118" spans="1:9" ht="28.5" customHeight="1">
      <c r="A118" s="288">
        <v>71</v>
      </c>
      <c r="B118" s="265" t="s">
        <v>64</v>
      </c>
      <c r="C118" s="6">
        <v>14</v>
      </c>
      <c r="D118" s="6">
        <v>145</v>
      </c>
      <c r="E118" s="4">
        <f>C118-D118</f>
        <v>-131</v>
      </c>
      <c r="F118" s="13">
        <v>6.73</v>
      </c>
      <c r="G118" s="8"/>
      <c r="H118" s="85"/>
      <c r="I118" s="3" t="s">
        <v>16</v>
      </c>
    </row>
    <row r="119" spans="1:9">
      <c r="A119" s="511">
        <v>72</v>
      </c>
      <c r="B119" s="495" t="s">
        <v>65</v>
      </c>
      <c r="C119" s="481">
        <v>7726</v>
      </c>
      <c r="D119" s="473">
        <f>5910+315+160+125+119+134+28+20+58+197+179+116+105+79+131+74</f>
        <v>7750</v>
      </c>
      <c r="E119" s="4">
        <v>-20</v>
      </c>
      <c r="F119" s="13">
        <v>5.93</v>
      </c>
      <c r="G119" s="477"/>
      <c r="H119" s="479">
        <f>-9.77-0.22-0.24-4.54-0.32</f>
        <v>-15.09</v>
      </c>
      <c r="I119" s="3"/>
    </row>
    <row r="120" spans="1:9">
      <c r="A120" s="511"/>
      <c r="B120" s="496"/>
      <c r="C120" s="482"/>
      <c r="D120" s="474"/>
      <c r="E120" s="141">
        <f>-58+58+198-197+168-179-116+150-105+126-79+54+6+97-131-74+78</f>
        <v>-4</v>
      </c>
      <c r="F120" s="13">
        <v>6.73</v>
      </c>
      <c r="G120" s="478"/>
      <c r="H120" s="480"/>
      <c r="I120" s="3"/>
    </row>
    <row r="121" spans="1:9">
      <c r="A121" s="132">
        <v>73</v>
      </c>
      <c r="B121" s="261" t="s">
        <v>66</v>
      </c>
      <c r="C121" s="151">
        <v>13882</v>
      </c>
      <c r="D121" s="155">
        <f>11193+337+97+210+486+84+73+280+461+311+193</f>
        <v>13725</v>
      </c>
      <c r="E121" s="104">
        <f>C121-D121</f>
        <v>157</v>
      </c>
      <c r="F121" s="70">
        <v>6.73</v>
      </c>
      <c r="G121" s="149">
        <f>E121*F121+H121</f>
        <v>1034.73</v>
      </c>
      <c r="H121" s="150">
        <f>-10.92-1.38-1.43-0.6-2.47-3.97-1.11</f>
        <v>-21.88</v>
      </c>
      <c r="I121" s="3"/>
    </row>
    <row r="122" spans="1:9">
      <c r="A122" s="511">
        <v>74</v>
      </c>
      <c r="B122" s="495" t="s">
        <v>363</v>
      </c>
      <c r="C122" s="475">
        <v>1408</v>
      </c>
      <c r="D122" s="473">
        <f>1224+162</f>
        <v>1386</v>
      </c>
      <c r="E122" s="142">
        <v>-194</v>
      </c>
      <c r="F122" s="13">
        <v>5.93</v>
      </c>
      <c r="G122" s="477">
        <f>E122*F122+E123*F123+E124*F124+H122</f>
        <v>252.32000000000019</v>
      </c>
      <c r="H122" s="479">
        <v>-0.46</v>
      </c>
      <c r="I122" s="3"/>
    </row>
    <row r="123" spans="1:9">
      <c r="A123" s="511"/>
      <c r="B123" s="529"/>
      <c r="C123" s="483"/>
      <c r="D123" s="484"/>
      <c r="E123" s="4">
        <f>65-162+56+21+12+2</f>
        <v>-6</v>
      </c>
      <c r="F123" s="13">
        <v>6.17</v>
      </c>
      <c r="G123" s="524"/>
      <c r="H123" s="487"/>
      <c r="I123" s="3"/>
    </row>
    <row r="124" spans="1:9">
      <c r="A124" s="511"/>
      <c r="B124" s="496"/>
      <c r="C124" s="476"/>
      <c r="D124" s="474"/>
      <c r="E124" s="61">
        <f>2+9+24+45+59+33+22+3+1+4+12</f>
        <v>214</v>
      </c>
      <c r="F124" s="13">
        <v>6.73</v>
      </c>
      <c r="G124" s="478"/>
      <c r="H124" s="480"/>
      <c r="I124" s="3"/>
    </row>
    <row r="125" spans="1:9">
      <c r="A125" s="436">
        <v>75</v>
      </c>
      <c r="B125" s="437" t="s">
        <v>67</v>
      </c>
      <c r="C125" s="438">
        <v>3020</v>
      </c>
      <c r="D125" s="440">
        <f>2345+66+114+250+290</f>
        <v>3065</v>
      </c>
      <c r="E125" s="4">
        <f>C125-D125</f>
        <v>-45</v>
      </c>
      <c r="F125" s="13">
        <v>6.73</v>
      </c>
      <c r="G125" s="8"/>
      <c r="H125" s="439">
        <f>-9.26-5.8</f>
        <v>-15.059999999999999</v>
      </c>
      <c r="I125" s="3"/>
    </row>
    <row r="126" spans="1:9" ht="46.5" customHeight="1">
      <c r="A126" s="132">
        <v>76</v>
      </c>
      <c r="B126" s="261" t="s">
        <v>68</v>
      </c>
      <c r="C126" s="114">
        <v>3406</v>
      </c>
      <c r="D126" s="113">
        <f>299+624+210+243+220+244+891+445+297</f>
        <v>3473</v>
      </c>
      <c r="E126" s="4">
        <f>C126-D126</f>
        <v>-67</v>
      </c>
      <c r="F126" s="13">
        <v>6.73</v>
      </c>
      <c r="G126" s="8"/>
      <c r="H126" s="112">
        <f>-5.15-3.57-5.15-1.19</f>
        <v>-15.06</v>
      </c>
      <c r="I126" s="3" t="s">
        <v>44</v>
      </c>
    </row>
    <row r="127" spans="1:9">
      <c r="A127" s="288">
        <v>77</v>
      </c>
      <c r="B127" s="265" t="s">
        <v>69</v>
      </c>
      <c r="C127" s="6">
        <v>2</v>
      </c>
      <c r="D127" s="6">
        <v>0</v>
      </c>
      <c r="E127" s="4">
        <f>C127-D127</f>
        <v>2</v>
      </c>
      <c r="F127" s="13">
        <v>5.93</v>
      </c>
      <c r="G127" s="8">
        <f>E127*F127+H127</f>
        <v>11.86</v>
      </c>
      <c r="H127" s="85"/>
      <c r="I127" s="3" t="s">
        <v>16</v>
      </c>
    </row>
    <row r="128" spans="1:9">
      <c r="A128" s="511">
        <v>78</v>
      </c>
      <c r="B128" s="495" t="s">
        <v>353</v>
      </c>
      <c r="C128" s="475">
        <v>4411</v>
      </c>
      <c r="D128" s="527">
        <f>3520+580+101+56</f>
        <v>4257</v>
      </c>
      <c r="E128" s="4">
        <v>-13</v>
      </c>
      <c r="F128" s="13">
        <v>6.17</v>
      </c>
      <c r="G128" s="477">
        <f>E128*F128+E129*F129+H128</f>
        <v>1043.1500000000001</v>
      </c>
      <c r="H128" s="479">
        <f>-2.81-4.47</f>
        <v>-7.2799999999999994</v>
      </c>
      <c r="I128" s="3"/>
    </row>
    <row r="129" spans="1:9">
      <c r="A129" s="511"/>
      <c r="B129" s="496"/>
      <c r="C129" s="476"/>
      <c r="D129" s="528"/>
      <c r="E129" s="4">
        <f>9+16-101+10+41+94-56+70+85</f>
        <v>168</v>
      </c>
      <c r="F129" s="13">
        <v>6.73</v>
      </c>
      <c r="G129" s="478"/>
      <c r="H129" s="480"/>
      <c r="I129" s="3"/>
    </row>
    <row r="130" spans="1:9" ht="31.5">
      <c r="A130" s="288">
        <v>79</v>
      </c>
      <c r="B130" s="265" t="s">
        <v>366</v>
      </c>
      <c r="C130" s="6">
        <v>2</v>
      </c>
      <c r="D130" s="6">
        <v>2</v>
      </c>
      <c r="E130" s="4">
        <f>C130-D130</f>
        <v>0</v>
      </c>
      <c r="F130" s="13">
        <v>6.73</v>
      </c>
      <c r="G130" s="8"/>
      <c r="H130" s="85"/>
      <c r="I130" s="3" t="s">
        <v>16</v>
      </c>
    </row>
    <row r="131" spans="1:9">
      <c r="A131" s="511">
        <v>80</v>
      </c>
      <c r="B131" s="495" t="s">
        <v>317</v>
      </c>
      <c r="C131" s="475">
        <v>6720</v>
      </c>
      <c r="D131" s="473">
        <f>5538+168+110+56+243+162+104+104+104+104+148</f>
        <v>6841</v>
      </c>
      <c r="E131" s="4">
        <v>-20</v>
      </c>
      <c r="F131" s="13">
        <v>6.17</v>
      </c>
      <c r="G131" s="477"/>
      <c r="H131" s="479">
        <f>-7.25-0.08-0.08-3.96</f>
        <v>-11.370000000000001</v>
      </c>
      <c r="I131" s="3"/>
    </row>
    <row r="132" spans="1:9">
      <c r="A132" s="511"/>
      <c r="B132" s="496"/>
      <c r="C132" s="476"/>
      <c r="D132" s="474"/>
      <c r="E132" s="4">
        <f>21-104+64-104+118+107-104+85+24-104+22-148+22</f>
        <v>-101</v>
      </c>
      <c r="F132" s="13">
        <v>6.73</v>
      </c>
      <c r="G132" s="478"/>
      <c r="H132" s="480"/>
      <c r="I132" s="3"/>
    </row>
    <row r="133" spans="1:9">
      <c r="A133" s="132">
        <v>81</v>
      </c>
      <c r="B133" s="261" t="s">
        <v>70</v>
      </c>
      <c r="C133" s="213">
        <v>6054</v>
      </c>
      <c r="D133" s="215">
        <f>4996+207+97+157+81+266</f>
        <v>5804</v>
      </c>
      <c r="E133" s="4">
        <f>C133-D133</f>
        <v>250</v>
      </c>
      <c r="F133" s="13">
        <v>6.73</v>
      </c>
      <c r="G133" s="8">
        <f>E133*F133+H133</f>
        <v>1682.5</v>
      </c>
      <c r="H133" s="214"/>
      <c r="I133" s="3"/>
    </row>
    <row r="134" spans="1:9" ht="30.75" customHeight="1">
      <c r="A134" s="132">
        <v>82</v>
      </c>
      <c r="B134" s="261" t="s">
        <v>71</v>
      </c>
      <c r="C134" s="61">
        <v>9776</v>
      </c>
      <c r="D134" s="62">
        <f>6879+820+550+541+246+742</f>
        <v>9778</v>
      </c>
      <c r="E134" s="4">
        <f>C134-D134</f>
        <v>-2</v>
      </c>
      <c r="F134" s="13">
        <v>6.73</v>
      </c>
      <c r="G134" s="8"/>
      <c r="H134" s="85">
        <f>-6.45-6.34</f>
        <v>-12.79</v>
      </c>
      <c r="I134" s="35"/>
    </row>
    <row r="135" spans="1:9">
      <c r="A135" s="511">
        <v>83</v>
      </c>
      <c r="B135" s="495" t="s">
        <v>72</v>
      </c>
      <c r="C135" s="475">
        <v>969</v>
      </c>
      <c r="D135" s="473">
        <v>911</v>
      </c>
      <c r="E135" s="4">
        <v>-162</v>
      </c>
      <c r="F135" s="13">
        <v>6.17</v>
      </c>
      <c r="G135" s="477">
        <f>E135*F135+E136*F136+H135</f>
        <v>478.57000000000016</v>
      </c>
      <c r="H135" s="479">
        <v>-2.4900000000000002</v>
      </c>
      <c r="I135" s="3"/>
    </row>
    <row r="136" spans="1:9">
      <c r="A136" s="511"/>
      <c r="B136" s="496"/>
      <c r="C136" s="476"/>
      <c r="D136" s="474"/>
      <c r="E136" s="4">
        <f>77+53+33+48+9</f>
        <v>220</v>
      </c>
      <c r="F136" s="13">
        <v>6.73</v>
      </c>
      <c r="G136" s="478"/>
      <c r="H136" s="480"/>
      <c r="I136" s="3"/>
    </row>
    <row r="137" spans="1:9">
      <c r="A137" s="511">
        <v>84</v>
      </c>
      <c r="B137" s="495" t="s">
        <v>73</v>
      </c>
      <c r="C137" s="475">
        <v>12330</v>
      </c>
      <c r="D137" s="473">
        <f>9900+140+103+240+416+490+269+293+309+50+50+15</f>
        <v>12275</v>
      </c>
      <c r="E137" s="4">
        <v>-187</v>
      </c>
      <c r="F137" s="13">
        <v>6.17</v>
      </c>
      <c r="G137" s="477">
        <f t="shared" ref="G137" si="2">E137*F137+E138*F138+H137</f>
        <v>464.37000000000012</v>
      </c>
      <c r="H137" s="479">
        <f>-6.17-4.33</f>
        <v>-10.5</v>
      </c>
      <c r="I137" s="3"/>
    </row>
    <row r="138" spans="1:9">
      <c r="A138" s="511"/>
      <c r="B138" s="496"/>
      <c r="C138" s="476"/>
      <c r="D138" s="474"/>
      <c r="E138" s="4">
        <f>1+190+251-269+293-293+309-309+50-50+49+1-50+15-15+69</f>
        <v>242</v>
      </c>
      <c r="F138" s="13">
        <v>6.73</v>
      </c>
      <c r="G138" s="478"/>
      <c r="H138" s="480"/>
      <c r="I138" s="3"/>
    </row>
    <row r="139" spans="1:9">
      <c r="A139" s="511">
        <v>85</v>
      </c>
      <c r="B139" s="495" t="s">
        <v>74</v>
      </c>
      <c r="C139" s="475">
        <v>7322</v>
      </c>
      <c r="D139" s="473">
        <f>7430+445</f>
        <v>7875</v>
      </c>
      <c r="E139" s="4">
        <v>-110</v>
      </c>
      <c r="F139" s="13">
        <v>6.17</v>
      </c>
      <c r="G139" s="477"/>
      <c r="H139" s="479">
        <f>-4.44-5.15</f>
        <v>-9.59</v>
      </c>
      <c r="I139" s="3"/>
    </row>
    <row r="140" spans="1:9">
      <c r="A140" s="511"/>
      <c r="B140" s="496"/>
      <c r="C140" s="476"/>
      <c r="D140" s="474"/>
      <c r="E140" s="4">
        <f>-445+1+1</f>
        <v>-443</v>
      </c>
      <c r="F140" s="13">
        <v>6.73</v>
      </c>
      <c r="G140" s="478"/>
      <c r="H140" s="480"/>
      <c r="I140" s="3"/>
    </row>
    <row r="141" spans="1:9" ht="27" customHeight="1">
      <c r="A141" s="132">
        <v>86</v>
      </c>
      <c r="B141" s="266" t="s">
        <v>75</v>
      </c>
      <c r="C141" s="14"/>
      <c r="D141" s="15"/>
      <c r="E141" s="4"/>
      <c r="F141" s="13"/>
      <c r="G141" s="8"/>
      <c r="H141" s="85"/>
      <c r="I141" s="3"/>
    </row>
    <row r="142" spans="1:9" ht="31.5">
      <c r="A142" s="511">
        <v>87</v>
      </c>
      <c r="B142" s="495" t="s">
        <v>76</v>
      </c>
      <c r="C142" s="475">
        <v>15616</v>
      </c>
      <c r="D142" s="473">
        <f>12283+843+180+313+486+445+445</f>
        <v>14995</v>
      </c>
      <c r="E142" s="4">
        <v>-31</v>
      </c>
      <c r="F142" s="13">
        <v>6.17</v>
      </c>
      <c r="G142" s="477">
        <f>E142*F142+E143*F143+H142</f>
        <v>4182.6099999999997</v>
      </c>
      <c r="H142" s="479">
        <f>-2.4-1.38-5.15-5.15</f>
        <v>-14.08</v>
      </c>
      <c r="I142" s="3" t="s">
        <v>7</v>
      </c>
    </row>
    <row r="143" spans="1:9">
      <c r="A143" s="511"/>
      <c r="B143" s="496"/>
      <c r="C143" s="476"/>
      <c r="D143" s="474"/>
      <c r="E143" s="4">
        <f>293-445+270+259-445+225+139+133+5+23+195</f>
        <v>652</v>
      </c>
      <c r="F143" s="13">
        <v>6.73</v>
      </c>
      <c r="G143" s="478"/>
      <c r="H143" s="480"/>
      <c r="I143" s="3"/>
    </row>
    <row r="144" spans="1:9">
      <c r="A144" s="500">
        <v>88</v>
      </c>
      <c r="B144" s="497" t="s">
        <v>76</v>
      </c>
      <c r="C144" s="481">
        <v>102</v>
      </c>
      <c r="D144" s="525">
        <v>82</v>
      </c>
      <c r="E144" s="4">
        <v>12</v>
      </c>
      <c r="F144" s="13">
        <v>6.17</v>
      </c>
      <c r="G144" s="477">
        <f>E144*F144+E145*F145+H144</f>
        <v>121.78</v>
      </c>
      <c r="H144" s="479">
        <v>-6.1</v>
      </c>
      <c r="I144" s="3"/>
    </row>
    <row r="145" spans="1:9">
      <c r="A145" s="500"/>
      <c r="B145" s="498"/>
      <c r="C145" s="482"/>
      <c r="D145" s="526"/>
      <c r="E145" s="4">
        <f>2+4+1+1</f>
        <v>8</v>
      </c>
      <c r="F145" s="13">
        <v>6.73</v>
      </c>
      <c r="G145" s="478"/>
      <c r="H145" s="480"/>
      <c r="I145" s="3"/>
    </row>
    <row r="146" spans="1:9" ht="15.75" customHeight="1">
      <c r="A146" s="335">
        <v>89</v>
      </c>
      <c r="B146" s="347" t="s">
        <v>77</v>
      </c>
      <c r="C146" s="353">
        <v>10196</v>
      </c>
      <c r="D146" s="351">
        <f>8707+78+297+57+707</f>
        <v>9846</v>
      </c>
      <c r="E146" s="4">
        <f>C146-D146</f>
        <v>350</v>
      </c>
      <c r="F146" s="13">
        <v>6.73</v>
      </c>
      <c r="G146" s="349">
        <f>E146*F146+H146</f>
        <v>2355.5</v>
      </c>
      <c r="H146" s="355"/>
      <c r="I146" s="356"/>
    </row>
    <row r="147" spans="1:9">
      <c r="A147" s="511">
        <v>90</v>
      </c>
      <c r="B147" s="488" t="s">
        <v>78</v>
      </c>
      <c r="C147" s="475">
        <v>3161</v>
      </c>
      <c r="D147" s="473">
        <f>2195+100+80+249+100+85+27+85+167+36</f>
        <v>3124</v>
      </c>
      <c r="E147" s="4">
        <v>-28</v>
      </c>
      <c r="F147" s="13">
        <v>5.93</v>
      </c>
      <c r="G147" s="477">
        <f>E147*F147+E148*F148+E149*F149+H147</f>
        <v>256.87000000000006</v>
      </c>
      <c r="H147" s="479">
        <f>-6.07-1.66-0.09-6.72</f>
        <v>-14.54</v>
      </c>
      <c r="I147" s="3"/>
    </row>
    <row r="148" spans="1:9">
      <c r="A148" s="511"/>
      <c r="B148" s="522"/>
      <c r="C148" s="483"/>
      <c r="D148" s="484"/>
      <c r="E148" s="4">
        <v>0</v>
      </c>
      <c r="F148" s="13">
        <v>6.17</v>
      </c>
      <c r="G148" s="524"/>
      <c r="H148" s="487"/>
      <c r="I148" s="3"/>
    </row>
    <row r="149" spans="1:9">
      <c r="A149" s="511"/>
      <c r="B149" s="489"/>
      <c r="C149" s="476"/>
      <c r="D149" s="474"/>
      <c r="E149" s="4">
        <f>1+38+76-85+73+96-167+36-36+1+32</f>
        <v>65</v>
      </c>
      <c r="F149" s="13">
        <v>6.73</v>
      </c>
      <c r="G149" s="478"/>
      <c r="H149" s="480"/>
      <c r="I149" s="3"/>
    </row>
    <row r="150" spans="1:9">
      <c r="A150" s="511">
        <v>91</v>
      </c>
      <c r="B150" s="495" t="s">
        <v>323</v>
      </c>
      <c r="C150" s="475">
        <v>7464</v>
      </c>
      <c r="D150" s="473">
        <f>6335+499+700</f>
        <v>7534</v>
      </c>
      <c r="E150" s="4">
        <v>-249</v>
      </c>
      <c r="F150" s="13">
        <v>6.17</v>
      </c>
      <c r="G150" s="477"/>
      <c r="H150" s="479">
        <v>-1.91</v>
      </c>
      <c r="I150" s="3"/>
    </row>
    <row r="151" spans="1:9">
      <c r="A151" s="511"/>
      <c r="B151" s="496"/>
      <c r="C151" s="476"/>
      <c r="D151" s="474"/>
      <c r="E151" s="4">
        <f>1+2+8+97+93+122+154-700+90+69+3+14+22+7+3+32+162</f>
        <v>179</v>
      </c>
      <c r="F151" s="13">
        <v>6.73</v>
      </c>
      <c r="G151" s="478"/>
      <c r="H151" s="480"/>
      <c r="I151" s="3"/>
    </row>
    <row r="152" spans="1:9" ht="31.5">
      <c r="A152" s="288">
        <v>92</v>
      </c>
      <c r="B152" s="265" t="s">
        <v>79</v>
      </c>
      <c r="C152" s="6">
        <v>215</v>
      </c>
      <c r="D152" s="6">
        <v>215</v>
      </c>
      <c r="E152" s="4">
        <f>C152-D152</f>
        <v>0</v>
      </c>
      <c r="F152" s="13">
        <v>6.73</v>
      </c>
      <c r="G152" s="8"/>
      <c r="H152" s="85"/>
      <c r="I152" s="3" t="s">
        <v>16</v>
      </c>
    </row>
    <row r="153" spans="1:9">
      <c r="A153" s="511">
        <v>93</v>
      </c>
      <c r="B153" s="495" t="s">
        <v>80</v>
      </c>
      <c r="C153" s="475">
        <v>3571</v>
      </c>
      <c r="D153" s="473">
        <v>3295</v>
      </c>
      <c r="E153" s="4">
        <v>-331</v>
      </c>
      <c r="F153" s="13">
        <v>6.17</v>
      </c>
      <c r="G153" s="477">
        <f>E153*F153+E154*F154+H153</f>
        <v>2039.0200000000002</v>
      </c>
      <c r="H153" s="479">
        <v>-3.82</v>
      </c>
      <c r="I153" s="3"/>
    </row>
    <row r="154" spans="1:9">
      <c r="A154" s="511"/>
      <c r="B154" s="496"/>
      <c r="C154" s="476"/>
      <c r="D154" s="474"/>
      <c r="E154" s="4">
        <f>28+83+22+25+40+58+1+350</f>
        <v>607</v>
      </c>
      <c r="F154" s="13">
        <v>6.73</v>
      </c>
      <c r="G154" s="478"/>
      <c r="H154" s="480"/>
      <c r="I154" s="3"/>
    </row>
    <row r="155" spans="1:9">
      <c r="A155" s="398">
        <v>94</v>
      </c>
      <c r="B155" s="402" t="s">
        <v>81</v>
      </c>
      <c r="C155" s="401">
        <v>47</v>
      </c>
      <c r="D155" s="400">
        <f>29+8+2+1+6</f>
        <v>46</v>
      </c>
      <c r="E155" s="4">
        <f>C155-D155</f>
        <v>1</v>
      </c>
      <c r="F155" s="13">
        <v>6.73</v>
      </c>
      <c r="G155" s="399">
        <f>E155*F155+H155</f>
        <v>6.73</v>
      </c>
      <c r="H155" s="403"/>
      <c r="I155" s="3"/>
    </row>
    <row r="156" spans="1:9" ht="31.5">
      <c r="A156" s="132">
        <v>95</v>
      </c>
      <c r="B156" s="261" t="s">
        <v>81</v>
      </c>
      <c r="C156" s="240">
        <v>13632</v>
      </c>
      <c r="D156" s="238">
        <f>10311+819+218+466+530+108+290</f>
        <v>12742</v>
      </c>
      <c r="E156" s="4">
        <f>C156-D156</f>
        <v>890</v>
      </c>
      <c r="F156" s="13">
        <v>6.73</v>
      </c>
      <c r="G156" s="237">
        <f>E156*F156+H156</f>
        <v>5984.89</v>
      </c>
      <c r="H156" s="239">
        <f>-3.06-1.75</f>
        <v>-4.8100000000000005</v>
      </c>
      <c r="I156" s="3" t="s">
        <v>7</v>
      </c>
    </row>
    <row r="157" spans="1:9">
      <c r="A157" s="500">
        <v>96</v>
      </c>
      <c r="B157" s="497" t="s">
        <v>82</v>
      </c>
      <c r="C157" s="481">
        <v>3321</v>
      </c>
      <c r="D157" s="485">
        <f>1631+337+117+211+364+445</f>
        <v>3105</v>
      </c>
      <c r="E157" s="4">
        <v>-3</v>
      </c>
      <c r="F157" s="13">
        <v>6.17</v>
      </c>
      <c r="G157" s="477">
        <f>E157*F157+E158*F158+H157</f>
        <v>1440.18</v>
      </c>
      <c r="H157" s="479">
        <v>-8.4499999999999993</v>
      </c>
      <c r="I157" s="3"/>
    </row>
    <row r="158" spans="1:9">
      <c r="A158" s="500"/>
      <c r="B158" s="498"/>
      <c r="C158" s="482"/>
      <c r="D158" s="486"/>
      <c r="E158" s="4">
        <f>15+286+33-445+26+24+25+4+23+227</f>
        <v>218</v>
      </c>
      <c r="F158" s="13">
        <v>6.73</v>
      </c>
      <c r="G158" s="478"/>
      <c r="H158" s="480"/>
      <c r="I158" s="3"/>
    </row>
    <row r="159" spans="1:9">
      <c r="A159" s="132">
        <v>97</v>
      </c>
      <c r="B159" s="261" t="s">
        <v>83</v>
      </c>
      <c r="C159" s="231">
        <v>6221</v>
      </c>
      <c r="D159" s="230">
        <f>5239+320+191+286+132+17</f>
        <v>6185</v>
      </c>
      <c r="E159" s="4">
        <f>C159-D159</f>
        <v>36</v>
      </c>
      <c r="F159" s="13">
        <v>6.73</v>
      </c>
      <c r="G159" s="226">
        <f>E159*F159+H159</f>
        <v>242.28000000000003</v>
      </c>
      <c r="H159" s="229"/>
      <c r="I159" s="3"/>
    </row>
    <row r="160" spans="1:9" ht="31.5" customHeight="1">
      <c r="A160" s="394">
        <v>98</v>
      </c>
      <c r="B160" s="396" t="s">
        <v>84</v>
      </c>
      <c r="C160" s="395">
        <v>2589</v>
      </c>
      <c r="D160" s="395">
        <f>961+131+122+532+642</f>
        <v>2388</v>
      </c>
      <c r="E160" s="4">
        <f>C160-D160</f>
        <v>201</v>
      </c>
      <c r="F160" s="13">
        <v>6.73</v>
      </c>
      <c r="G160" s="392">
        <f>E160*F160+H160</f>
        <v>1352.73</v>
      </c>
      <c r="H160" s="397"/>
      <c r="I160" s="393"/>
    </row>
    <row r="161" spans="1:9">
      <c r="A161" s="511">
        <v>99</v>
      </c>
      <c r="B161" s="495" t="s">
        <v>85</v>
      </c>
      <c r="C161" s="481">
        <v>31609</v>
      </c>
      <c r="D161" s="473">
        <f>27242+1000+594+1000+1000+594</f>
        <v>31430</v>
      </c>
      <c r="E161" s="4">
        <v>-206</v>
      </c>
      <c r="F161" s="13">
        <v>6.17</v>
      </c>
      <c r="G161" s="477">
        <f>E161*F161+E162*F162+H161</f>
        <v>1311.1000000000001</v>
      </c>
      <c r="H161" s="479">
        <f>-6.55-2.38</f>
        <v>-8.93</v>
      </c>
      <c r="I161" s="3"/>
    </row>
    <row r="162" spans="1:9">
      <c r="A162" s="511"/>
      <c r="B162" s="496"/>
      <c r="C162" s="482"/>
      <c r="D162" s="474"/>
      <c r="E162" s="4">
        <f>126+194-594+87+18+121+385-1000+248+281+142+304-1000+256+461+130+19+13-594+229+234+325</f>
        <v>385</v>
      </c>
      <c r="F162" s="13">
        <v>6.73</v>
      </c>
      <c r="G162" s="478"/>
      <c r="H162" s="480"/>
      <c r="I162" s="3"/>
    </row>
    <row r="163" spans="1:9">
      <c r="A163" s="511">
        <v>100</v>
      </c>
      <c r="B163" s="495" t="s">
        <v>86</v>
      </c>
      <c r="C163" s="475">
        <v>5945</v>
      </c>
      <c r="D163" s="473">
        <f>4967+143+372+148+133+74+74</f>
        <v>5911</v>
      </c>
      <c r="E163" s="4">
        <v>-76</v>
      </c>
      <c r="F163" s="13">
        <v>6.17</v>
      </c>
      <c r="G163" s="477">
        <f>E163*F163+E164*F164+H163</f>
        <v>253.79000000000005</v>
      </c>
      <c r="H163" s="479">
        <f>-4.76-3.96-4.91-1.98-1.98</f>
        <v>-17.59</v>
      </c>
      <c r="I163" s="3"/>
    </row>
    <row r="164" spans="1:9">
      <c r="A164" s="511"/>
      <c r="B164" s="496"/>
      <c r="C164" s="476"/>
      <c r="D164" s="474"/>
      <c r="E164" s="4">
        <f>6+35+150-148+137-133+94-74+50+24+3-74+4+36</f>
        <v>110</v>
      </c>
      <c r="F164" s="13">
        <v>6.73</v>
      </c>
      <c r="G164" s="478"/>
      <c r="H164" s="480"/>
      <c r="I164" s="3"/>
    </row>
    <row r="165" spans="1:9">
      <c r="A165" s="511">
        <v>101</v>
      </c>
      <c r="B165" s="488" t="s">
        <v>87</v>
      </c>
      <c r="C165" s="475">
        <v>6566</v>
      </c>
      <c r="D165" s="473">
        <f>4448+674+554+532</f>
        <v>6208</v>
      </c>
      <c r="E165" s="4">
        <v>-238</v>
      </c>
      <c r="F165" s="13">
        <v>5.93</v>
      </c>
      <c r="G165" s="477">
        <f>E165*F165+E166*F166+H165</f>
        <v>2595.1000000000008</v>
      </c>
      <c r="H165" s="479">
        <f>-3.18-1.46</f>
        <v>-4.6400000000000006</v>
      </c>
      <c r="I165" s="3"/>
    </row>
    <row r="166" spans="1:9">
      <c r="A166" s="511"/>
      <c r="B166" s="489"/>
      <c r="C166" s="476"/>
      <c r="D166" s="474"/>
      <c r="E166" s="4">
        <f>5+128-532+197+252+213+147+12+4+170</f>
        <v>596</v>
      </c>
      <c r="F166" s="13">
        <v>6.73</v>
      </c>
      <c r="G166" s="478"/>
      <c r="H166" s="480"/>
      <c r="I166" s="3"/>
    </row>
    <row r="167" spans="1:9" ht="27" customHeight="1">
      <c r="A167" s="132">
        <v>102</v>
      </c>
      <c r="B167" s="271" t="s">
        <v>75</v>
      </c>
      <c r="C167" s="14"/>
      <c r="D167" s="15"/>
      <c r="E167" s="4"/>
      <c r="F167" s="13"/>
      <c r="G167" s="8"/>
      <c r="H167" s="85"/>
      <c r="I167" s="3"/>
    </row>
    <row r="168" spans="1:9" ht="30" customHeight="1">
      <c r="A168" s="132">
        <v>103</v>
      </c>
      <c r="B168" s="272" t="s">
        <v>88</v>
      </c>
      <c r="C168" s="127">
        <v>6864</v>
      </c>
      <c r="D168" s="126">
        <f>5182+114+52+46+530+442+128+73</f>
        <v>6567</v>
      </c>
      <c r="E168" s="22">
        <f>C168-D168</f>
        <v>297</v>
      </c>
      <c r="F168" s="13">
        <v>6.73</v>
      </c>
      <c r="G168" s="8">
        <f>E168*F168+H168</f>
        <v>1992.0800000000002</v>
      </c>
      <c r="H168" s="125">
        <v>-6.73</v>
      </c>
      <c r="I168" s="3"/>
    </row>
    <row r="169" spans="1:9" ht="31.5">
      <c r="A169" s="132">
        <v>104</v>
      </c>
      <c r="B169" s="266" t="s">
        <v>89</v>
      </c>
      <c r="C169" s="4">
        <v>7413</v>
      </c>
      <c r="D169" s="5">
        <f>6175+8+168+42+162+54+122+28+30+105+86+53+90+100+26+9+4+16+18</f>
        <v>7296</v>
      </c>
      <c r="E169" s="22">
        <f>C169-D169</f>
        <v>117</v>
      </c>
      <c r="F169" s="13">
        <v>6.73</v>
      </c>
      <c r="G169" s="8">
        <f>E169*F169+H169</f>
        <v>767.22</v>
      </c>
      <c r="H169" s="85">
        <f>-11.62-0.46-0.26-1.12-0.1-6.63</f>
        <v>-20.190000000000001</v>
      </c>
      <c r="I169" s="3"/>
    </row>
    <row r="170" spans="1:9" ht="15.75" customHeight="1">
      <c r="A170" s="463">
        <v>105</v>
      </c>
      <c r="B170" s="465" t="s">
        <v>90</v>
      </c>
      <c r="C170" s="464">
        <v>3067</v>
      </c>
      <c r="D170" s="464">
        <f>2746+228+93</f>
        <v>3067</v>
      </c>
      <c r="E170" s="22">
        <f>C170-D170</f>
        <v>0</v>
      </c>
      <c r="F170" s="13">
        <v>6.73</v>
      </c>
      <c r="G170" s="8"/>
      <c r="H170" s="466"/>
      <c r="I170" s="3"/>
    </row>
    <row r="171" spans="1:9">
      <c r="A171" s="361">
        <v>106</v>
      </c>
      <c r="B171" s="365" t="s">
        <v>91</v>
      </c>
      <c r="C171" s="364">
        <v>6223</v>
      </c>
      <c r="D171" s="363">
        <f>5368+222+129+189</f>
        <v>5908</v>
      </c>
      <c r="E171" s="4">
        <f>C171-D171</f>
        <v>315</v>
      </c>
      <c r="F171" s="13">
        <v>6.73</v>
      </c>
      <c r="G171" s="362">
        <f>E171*F171+H171</f>
        <v>2119.9500000000003</v>
      </c>
      <c r="H171" s="366"/>
      <c r="I171" s="3"/>
    </row>
    <row r="172" spans="1:9" ht="47.25">
      <c r="A172" s="132">
        <v>107</v>
      </c>
      <c r="B172" s="261" t="s">
        <v>354</v>
      </c>
      <c r="C172" s="127">
        <v>7181</v>
      </c>
      <c r="D172" s="126">
        <f>843+1686+652+183+64+324+342+280+148+445+445+475+271+84+78+74+29+44+148+81</f>
        <v>6696</v>
      </c>
      <c r="E172" s="4">
        <f>C172-D172</f>
        <v>485</v>
      </c>
      <c r="F172" s="13">
        <v>6.73</v>
      </c>
      <c r="G172" s="124">
        <f>E172*F172+H172</f>
        <v>3197.05</v>
      </c>
      <c r="H172" s="125">
        <f>-19.06-3.96-5.15-5.15-3.25-6.17-4.68-0.06-1.98-4.83-3.88-3.96-4.87</f>
        <v>-67</v>
      </c>
      <c r="I172" s="3" t="s">
        <v>378</v>
      </c>
    </row>
    <row r="173" spans="1:9">
      <c r="A173" s="511">
        <v>108</v>
      </c>
      <c r="B173" s="495" t="s">
        <v>306</v>
      </c>
      <c r="C173" s="475">
        <v>5216</v>
      </c>
      <c r="D173" s="473">
        <f>4473+194+222+386</f>
        <v>5275</v>
      </c>
      <c r="E173" s="4">
        <v>-58</v>
      </c>
      <c r="F173" s="13">
        <v>6.17</v>
      </c>
      <c r="G173" s="477"/>
      <c r="H173" s="479">
        <f>-1.1-3.02-5.94-2.22</f>
        <v>-12.280000000000001</v>
      </c>
      <c r="I173" s="3"/>
    </row>
    <row r="174" spans="1:9">
      <c r="A174" s="511"/>
      <c r="B174" s="496"/>
      <c r="C174" s="476"/>
      <c r="D174" s="474"/>
      <c r="E174" s="4">
        <f>152-222+82+79+88+76+31+20-386+79</f>
        <v>-1</v>
      </c>
      <c r="F174" s="13">
        <v>6.73</v>
      </c>
      <c r="G174" s="478"/>
      <c r="H174" s="480"/>
      <c r="I174" s="3"/>
    </row>
    <row r="175" spans="1:9">
      <c r="A175" s="288">
        <v>109</v>
      </c>
      <c r="B175" s="265" t="s">
        <v>92</v>
      </c>
      <c r="C175" s="6">
        <v>811</v>
      </c>
      <c r="D175" s="6">
        <v>811</v>
      </c>
      <c r="E175" s="16">
        <f>C175-D175</f>
        <v>0</v>
      </c>
      <c r="F175" s="13">
        <v>6.73</v>
      </c>
      <c r="G175" s="8"/>
      <c r="H175" s="85"/>
      <c r="I175" s="3" t="s">
        <v>16</v>
      </c>
    </row>
    <row r="176" spans="1:9">
      <c r="A176" s="288">
        <v>110</v>
      </c>
      <c r="B176" s="265" t="s">
        <v>93</v>
      </c>
      <c r="C176" s="6">
        <v>4501</v>
      </c>
      <c r="D176" s="6">
        <f>4535+66</f>
        <v>4601</v>
      </c>
      <c r="E176" s="16">
        <f>C176-D176</f>
        <v>-100</v>
      </c>
      <c r="F176" s="13">
        <v>6.73</v>
      </c>
      <c r="G176" s="8"/>
      <c r="H176" s="85"/>
      <c r="I176" s="3" t="s">
        <v>16</v>
      </c>
    </row>
    <row r="177" spans="1:9" ht="27.75" customHeight="1">
      <c r="A177" s="290">
        <v>111</v>
      </c>
      <c r="B177" s="273" t="s">
        <v>94</v>
      </c>
      <c r="C177" s="195">
        <v>4165</v>
      </c>
      <c r="D177" s="195">
        <f>34+333+837+1059+171+1206</f>
        <v>3640</v>
      </c>
      <c r="E177" s="17">
        <f>C177-D177</f>
        <v>525</v>
      </c>
      <c r="F177" s="13">
        <v>6.73</v>
      </c>
      <c r="G177" s="8">
        <f>E177*F177+H177</f>
        <v>3533.25</v>
      </c>
      <c r="H177" s="122"/>
      <c r="I177" s="3" t="s">
        <v>7</v>
      </c>
    </row>
    <row r="178" spans="1:9">
      <c r="A178" s="511">
        <v>112</v>
      </c>
      <c r="B178" s="488" t="s">
        <v>95</v>
      </c>
      <c r="C178" s="475">
        <v>4712</v>
      </c>
      <c r="D178" s="473">
        <f>4249+18+102+494</f>
        <v>4863</v>
      </c>
      <c r="E178" s="4">
        <v>-71</v>
      </c>
      <c r="F178" s="13">
        <v>5.93</v>
      </c>
      <c r="G178" s="477"/>
      <c r="H178" s="479">
        <v>-6.72</v>
      </c>
      <c r="I178" s="3"/>
    </row>
    <row r="179" spans="1:9">
      <c r="A179" s="511"/>
      <c r="B179" s="522"/>
      <c r="C179" s="483"/>
      <c r="D179" s="484"/>
      <c r="E179" s="4">
        <f>87-18+146-494+125</f>
        <v>-154</v>
      </c>
      <c r="F179" s="13">
        <v>6.17</v>
      </c>
      <c r="G179" s="524"/>
      <c r="H179" s="487"/>
      <c r="I179" s="3"/>
    </row>
    <row r="180" spans="1:9">
      <c r="A180" s="511"/>
      <c r="B180" s="489"/>
      <c r="C180" s="476"/>
      <c r="D180" s="474"/>
      <c r="E180" s="4">
        <f>34+12+3+2+22+1</f>
        <v>74</v>
      </c>
      <c r="F180" s="13">
        <v>6.73</v>
      </c>
      <c r="G180" s="478"/>
      <c r="H180" s="480"/>
      <c r="I180" s="3"/>
    </row>
    <row r="181" spans="1:9" ht="31.5" customHeight="1">
      <c r="A181" s="132">
        <v>113</v>
      </c>
      <c r="B181" s="263" t="s">
        <v>96</v>
      </c>
      <c r="C181" s="7">
        <v>11222</v>
      </c>
      <c r="D181" s="5">
        <f>8944+111+486+426+77+60+198+233+282+312</f>
        <v>11129</v>
      </c>
      <c r="E181" s="4">
        <f>C181-D181</f>
        <v>93</v>
      </c>
      <c r="F181" s="13">
        <v>6.73</v>
      </c>
      <c r="G181" s="8">
        <f>E181*F181+H181</f>
        <v>612.42999999999995</v>
      </c>
      <c r="H181" s="85">
        <f>-7.55-4.79-1.12</f>
        <v>-13.46</v>
      </c>
      <c r="I181" s="3"/>
    </row>
    <row r="182" spans="1:9">
      <c r="A182" s="499">
        <v>114</v>
      </c>
      <c r="B182" s="509" t="s">
        <v>97</v>
      </c>
      <c r="C182" s="507">
        <v>594</v>
      </c>
      <c r="D182" s="507">
        <v>791</v>
      </c>
      <c r="E182" s="16">
        <v>-197</v>
      </c>
      <c r="F182" s="13">
        <v>6.17</v>
      </c>
      <c r="G182" s="477"/>
      <c r="H182" s="479">
        <v>-6.09</v>
      </c>
      <c r="I182" s="3"/>
    </row>
    <row r="183" spans="1:9">
      <c r="A183" s="499"/>
      <c r="B183" s="510"/>
      <c r="C183" s="508"/>
      <c r="D183" s="508"/>
      <c r="E183" s="16"/>
      <c r="F183" s="13">
        <v>6.73</v>
      </c>
      <c r="G183" s="478"/>
      <c r="H183" s="480"/>
      <c r="I183" s="3"/>
    </row>
    <row r="184" spans="1:9">
      <c r="A184" s="500">
        <v>115</v>
      </c>
      <c r="B184" s="497" t="s">
        <v>98</v>
      </c>
      <c r="C184" s="481">
        <v>53049</v>
      </c>
      <c r="D184" s="485">
        <f>48933+324+162+162+162+324+148+297+297+371+297+148+148+297+594+106+79+222</f>
        <v>53071</v>
      </c>
      <c r="E184" s="4">
        <v>-1425</v>
      </c>
      <c r="F184" s="13">
        <v>6.17</v>
      </c>
      <c r="G184" s="477">
        <f>E184*F184+E185*F185+H184</f>
        <v>613.22000000000048</v>
      </c>
      <c r="H184" s="479">
        <f>-9.68-1.19-3.17-1.19-3.96-3.96-1.19-2.38-4.06-5.94</f>
        <v>-36.72</v>
      </c>
      <c r="I184" s="3"/>
    </row>
    <row r="185" spans="1:9">
      <c r="A185" s="500"/>
      <c r="B185" s="498"/>
      <c r="C185" s="482"/>
      <c r="D185" s="486"/>
      <c r="E185" s="4">
        <f>8-148+1121-297+405+282-297-371+389-297+288-148+117-148+104+194-297-594+1106-106+79-79-222+314</f>
        <v>1403</v>
      </c>
      <c r="F185" s="13">
        <v>6.73</v>
      </c>
      <c r="G185" s="478"/>
      <c r="H185" s="480"/>
      <c r="I185" s="3"/>
    </row>
    <row r="186" spans="1:9">
      <c r="A186" s="511">
        <v>116</v>
      </c>
      <c r="B186" s="488" t="s">
        <v>99</v>
      </c>
      <c r="C186" s="475">
        <v>28430</v>
      </c>
      <c r="D186" s="473">
        <f>20209+474+300+702+400+600+300+300+249+252+248+124+113+256+737+429+460+437+340+74+46+94+447+222+189+632</f>
        <v>28634</v>
      </c>
      <c r="E186" s="4">
        <v>-33</v>
      </c>
      <c r="F186" s="13">
        <v>5.93</v>
      </c>
      <c r="G186" s="477"/>
      <c r="H186" s="85">
        <f>-0.04-6.1-5.78</f>
        <v>-11.92</v>
      </c>
      <c r="I186" s="3"/>
    </row>
    <row r="187" spans="1:9">
      <c r="A187" s="511"/>
      <c r="B187" s="522"/>
      <c r="C187" s="483"/>
      <c r="D187" s="484"/>
      <c r="E187" s="4">
        <f>482-600-300+443-300+308+162-249</f>
        <v>-54</v>
      </c>
      <c r="F187" s="13">
        <v>6.17</v>
      </c>
      <c r="G187" s="524"/>
      <c r="H187" s="85"/>
      <c r="I187" s="3"/>
    </row>
    <row r="188" spans="1:9">
      <c r="A188" s="511"/>
      <c r="B188" s="489"/>
      <c r="C188" s="476"/>
      <c r="D188" s="474"/>
      <c r="E188" s="4">
        <f>-102+101+101-113+114+97-256+671-737-429+459-460+494-437+452-340+338-74+74-46-94+140-447+447-222+222-189+145-632+605</f>
        <v>-118</v>
      </c>
      <c r="F188" s="13">
        <v>6.73</v>
      </c>
      <c r="G188" s="478"/>
      <c r="H188" s="85"/>
      <c r="I188" s="3"/>
    </row>
    <row r="189" spans="1:9">
      <c r="A189" s="511">
        <v>117</v>
      </c>
      <c r="B189" s="495" t="s">
        <v>100</v>
      </c>
      <c r="C189" s="475">
        <v>5334</v>
      </c>
      <c r="D189" s="473">
        <f>4620+324+371+445</f>
        <v>5760</v>
      </c>
      <c r="E189" s="4">
        <v>-319</v>
      </c>
      <c r="F189" s="13">
        <v>6.17</v>
      </c>
      <c r="G189" s="477"/>
      <c r="H189" s="479">
        <f>-4.86-0.92-3.17-5.15</f>
        <v>-14.1</v>
      </c>
      <c r="I189" s="3"/>
    </row>
    <row r="190" spans="1:9">
      <c r="A190" s="511"/>
      <c r="B190" s="496"/>
      <c r="C190" s="476"/>
      <c r="D190" s="474"/>
      <c r="E190" s="4">
        <f>109-371+85+111+96+109+19-1-445+181</f>
        <v>-107</v>
      </c>
      <c r="F190" s="13">
        <v>6.73</v>
      </c>
      <c r="G190" s="478"/>
      <c r="H190" s="480"/>
      <c r="I190" s="3"/>
    </row>
    <row r="191" spans="1:9">
      <c r="A191" s="511">
        <v>118</v>
      </c>
      <c r="B191" s="495" t="s">
        <v>301</v>
      </c>
      <c r="C191" s="475">
        <v>21225</v>
      </c>
      <c r="D191" s="473">
        <f>15899+572+842+308+466+581+406+489+620+557+117</f>
        <v>20857</v>
      </c>
      <c r="E191" s="4">
        <v>-466</v>
      </c>
      <c r="F191" s="13">
        <v>6.17</v>
      </c>
      <c r="G191" s="477">
        <f>E191*F191+E192*F192+H191</f>
        <v>2732.380000000001</v>
      </c>
      <c r="H191" s="479">
        <v>-5.22</v>
      </c>
      <c r="I191" s="3"/>
    </row>
    <row r="192" spans="1:9">
      <c r="A192" s="511"/>
      <c r="B192" s="496"/>
      <c r="C192" s="476"/>
      <c r="D192" s="474"/>
      <c r="E192" s="4">
        <f>82+349+403-406+489-489+403+217-620+319+228+10-557+117-117+406</f>
        <v>834</v>
      </c>
      <c r="F192" s="13">
        <v>6.73</v>
      </c>
      <c r="G192" s="478"/>
      <c r="H192" s="480"/>
      <c r="I192" s="3"/>
    </row>
    <row r="193" spans="1:9">
      <c r="A193" s="511">
        <v>119</v>
      </c>
      <c r="B193" s="495" t="s">
        <v>301</v>
      </c>
      <c r="C193" s="475">
        <v>1668</v>
      </c>
      <c r="D193" s="473">
        <f>1418+39+75+77+35+23+1</f>
        <v>1668</v>
      </c>
      <c r="E193" s="4">
        <v>-74</v>
      </c>
      <c r="F193" s="13">
        <v>6.17</v>
      </c>
      <c r="G193" s="477">
        <f t="shared" ref="G193" si="3">E193*F193+E194*F194+H193</f>
        <v>33.650000000000055</v>
      </c>
      <c r="H193" s="479">
        <f>-0.68-5.49-1.62</f>
        <v>-7.79</v>
      </c>
      <c r="I193" s="3"/>
    </row>
    <row r="194" spans="1:9">
      <c r="A194" s="511"/>
      <c r="B194" s="496"/>
      <c r="C194" s="476"/>
      <c r="D194" s="474"/>
      <c r="E194" s="4">
        <f>2+5+9+35+14+39-35+21+2-23+1-1+5</f>
        <v>74</v>
      </c>
      <c r="F194" s="13">
        <v>6.73</v>
      </c>
      <c r="G194" s="478"/>
      <c r="H194" s="480"/>
      <c r="I194" s="3"/>
    </row>
    <row r="195" spans="1:9">
      <c r="A195" s="499">
        <v>120</v>
      </c>
      <c r="B195" s="509" t="s">
        <v>101</v>
      </c>
      <c r="C195" s="507">
        <v>33</v>
      </c>
      <c r="D195" s="507">
        <v>193</v>
      </c>
      <c r="E195" s="4">
        <v>-160</v>
      </c>
      <c r="F195" s="13">
        <v>6.17</v>
      </c>
      <c r="G195" s="477"/>
      <c r="H195" s="479">
        <v>-3.11</v>
      </c>
      <c r="I195" s="3" t="s">
        <v>16</v>
      </c>
    </row>
    <row r="196" spans="1:9">
      <c r="A196" s="499"/>
      <c r="B196" s="510"/>
      <c r="C196" s="508"/>
      <c r="D196" s="508"/>
      <c r="E196" s="4"/>
      <c r="F196" s="13">
        <v>6.73</v>
      </c>
      <c r="G196" s="478"/>
      <c r="H196" s="480"/>
      <c r="I196" s="3"/>
    </row>
    <row r="197" spans="1:9">
      <c r="A197" s="511">
        <v>121</v>
      </c>
      <c r="B197" s="495" t="s">
        <v>102</v>
      </c>
      <c r="C197" s="481">
        <v>13033</v>
      </c>
      <c r="D197" s="473">
        <f>10680+486+136+95+118+308+741+118+126+237</f>
        <v>13045</v>
      </c>
      <c r="E197" s="4">
        <v>-469</v>
      </c>
      <c r="F197" s="13">
        <v>6.17</v>
      </c>
      <c r="G197" s="477">
        <f>E197*F197+E198*F198+H197</f>
        <v>175.65000000000012</v>
      </c>
      <c r="H197" s="479">
        <f>-0.24-5.99</f>
        <v>-6.23</v>
      </c>
      <c r="I197" s="3"/>
    </row>
    <row r="198" spans="1:9">
      <c r="A198" s="511"/>
      <c r="B198" s="496"/>
      <c r="C198" s="482"/>
      <c r="D198" s="474"/>
      <c r="E198" s="4">
        <f>76+191+165+136-118+117-126+228-237+25</f>
        <v>457</v>
      </c>
      <c r="F198" s="13">
        <v>6.73</v>
      </c>
      <c r="G198" s="478"/>
      <c r="H198" s="480"/>
      <c r="I198" s="3"/>
    </row>
    <row r="199" spans="1:9" ht="15.75" customHeight="1">
      <c r="A199" s="299">
        <v>122</v>
      </c>
      <c r="B199" s="301" t="s">
        <v>103</v>
      </c>
      <c r="C199" s="302">
        <v>2983</v>
      </c>
      <c r="D199" s="300">
        <f>2535+224+72</f>
        <v>2831</v>
      </c>
      <c r="E199" s="449">
        <f>C199-D199</f>
        <v>152</v>
      </c>
      <c r="F199" s="32">
        <v>6.73</v>
      </c>
      <c r="G199" s="298">
        <f>E199*F199+H199</f>
        <v>1022.96</v>
      </c>
      <c r="H199" s="303"/>
      <c r="I199" s="3"/>
    </row>
    <row r="200" spans="1:9">
      <c r="A200" s="132">
        <v>123</v>
      </c>
      <c r="B200" s="278" t="s">
        <v>104</v>
      </c>
      <c r="C200" s="451">
        <v>5041</v>
      </c>
      <c r="D200" s="130">
        <f>4935+89+3+1+2+2+7+1</f>
        <v>5040</v>
      </c>
      <c r="E200" s="451">
        <f>C200-D200</f>
        <v>1</v>
      </c>
      <c r="F200" s="34">
        <v>6.73</v>
      </c>
      <c r="G200" s="460">
        <f>E200*F200+H200</f>
        <v>6.73</v>
      </c>
      <c r="H200" s="103"/>
      <c r="I200" s="3"/>
    </row>
    <row r="201" spans="1:9" ht="27" customHeight="1">
      <c r="A201" s="132">
        <v>124</v>
      </c>
      <c r="B201" s="278" t="s">
        <v>105</v>
      </c>
      <c r="C201" s="523" t="s">
        <v>296</v>
      </c>
      <c r="D201" s="523"/>
      <c r="E201" s="523"/>
      <c r="F201" s="523"/>
      <c r="G201" s="523"/>
      <c r="H201" s="523"/>
      <c r="I201" s="441"/>
    </row>
    <row r="202" spans="1:9" ht="30" customHeight="1">
      <c r="A202" s="132">
        <v>125</v>
      </c>
      <c r="B202" s="261" t="s">
        <v>106</v>
      </c>
      <c r="C202" s="455">
        <v>21920</v>
      </c>
      <c r="D202" s="453">
        <f>17535+337+280+195+177+153+356+411+61+371+260+297+445+445+148</f>
        <v>21471</v>
      </c>
      <c r="E202" s="450">
        <f>C202-D202</f>
        <v>449</v>
      </c>
      <c r="F202" s="33">
        <v>6.73</v>
      </c>
      <c r="G202" s="452">
        <f>E202*F202+H202</f>
        <v>2985.14</v>
      </c>
      <c r="H202" s="454">
        <f>-4.74-5.99-3.48-3.6-3.17-0.2-1.19-5.15-5.15-3.96</f>
        <v>-36.630000000000003</v>
      </c>
      <c r="I202" s="3"/>
    </row>
    <row r="203" spans="1:9">
      <c r="A203" s="511">
        <v>126</v>
      </c>
      <c r="B203" s="495" t="s">
        <v>107</v>
      </c>
      <c r="C203" s="475">
        <v>47356</v>
      </c>
      <c r="D203" s="473">
        <f>42071+505+269+75+243+247+486+810+395+361+378+287+207+233+270+146+22+40</f>
        <v>47045</v>
      </c>
      <c r="E203" s="4">
        <v>-121</v>
      </c>
      <c r="F203" s="13">
        <v>6.17</v>
      </c>
      <c r="G203" s="477">
        <f>E203*F203+E204*F204+H203</f>
        <v>2120.2799999999997</v>
      </c>
      <c r="H203" s="479">
        <f>-34.94-2.9-0.73-1.94</f>
        <v>-40.509999999999991</v>
      </c>
      <c r="I203" s="3"/>
    </row>
    <row r="204" spans="1:9">
      <c r="A204" s="511"/>
      <c r="B204" s="496"/>
      <c r="C204" s="476"/>
      <c r="D204" s="474"/>
      <c r="E204" s="4">
        <f>67+161+231+59-395+294-361+429-378+305-287-207+240+221-233+233-270-146+175-22-40+356</f>
        <v>432</v>
      </c>
      <c r="F204" s="13">
        <v>6.73</v>
      </c>
      <c r="G204" s="478"/>
      <c r="H204" s="480"/>
      <c r="I204" s="3"/>
    </row>
    <row r="205" spans="1:9" ht="29.25" customHeight="1">
      <c r="A205" s="511">
        <v>127</v>
      </c>
      <c r="B205" s="495" t="s">
        <v>108</v>
      </c>
      <c r="C205" s="475">
        <v>8055</v>
      </c>
      <c r="D205" s="473">
        <f>6978+363+125+41</f>
        <v>7507</v>
      </c>
      <c r="E205" s="4">
        <v>548</v>
      </c>
      <c r="F205" s="13">
        <v>6.17</v>
      </c>
      <c r="G205" s="477">
        <f>E205*F205+E206*F206+H205</f>
        <v>3375.3799999999997</v>
      </c>
      <c r="H205" s="479">
        <v>-5.78</v>
      </c>
      <c r="I205" s="3" t="s">
        <v>7</v>
      </c>
    </row>
    <row r="206" spans="1:9">
      <c r="A206" s="511"/>
      <c r="B206" s="496"/>
      <c r="C206" s="476"/>
      <c r="D206" s="474"/>
      <c r="E206" s="4"/>
      <c r="F206" s="13">
        <v>6.73</v>
      </c>
      <c r="G206" s="478"/>
      <c r="H206" s="480"/>
      <c r="I206" s="3"/>
    </row>
    <row r="207" spans="1:9" ht="29.25" customHeight="1">
      <c r="A207" s="132">
        <v>128</v>
      </c>
      <c r="B207" s="261" t="s">
        <v>109</v>
      </c>
      <c r="C207" s="173">
        <v>15509</v>
      </c>
      <c r="D207" s="172">
        <f>11674+451+147+166+372+320+420+7+192+426+459+295+343+140+6</f>
        <v>15418</v>
      </c>
      <c r="E207" s="4">
        <f>C207-D207</f>
        <v>91</v>
      </c>
      <c r="F207" s="13">
        <v>6.73</v>
      </c>
      <c r="G207" s="171">
        <f>E207*F207+H207</f>
        <v>598.97</v>
      </c>
      <c r="H207" s="170">
        <f>-1.67-3.54-1.52-6.23-0.5</f>
        <v>-13.46</v>
      </c>
      <c r="I207" s="3"/>
    </row>
    <row r="208" spans="1:9">
      <c r="A208" s="511">
        <v>129</v>
      </c>
      <c r="B208" s="495" t="s">
        <v>307</v>
      </c>
      <c r="C208" s="475">
        <v>6559</v>
      </c>
      <c r="D208" s="473">
        <f>5150+145+184+324+297+297+445</f>
        <v>6842</v>
      </c>
      <c r="E208" s="4">
        <v>-177</v>
      </c>
      <c r="F208" s="13">
        <v>6.17</v>
      </c>
      <c r="G208" s="477"/>
      <c r="H208" s="479">
        <f>-4.87-0.92-1.19-1.19-5.15</f>
        <v>-13.32</v>
      </c>
      <c r="I208" s="3"/>
    </row>
    <row r="209" spans="1:9">
      <c r="A209" s="511"/>
      <c r="B209" s="496"/>
      <c r="C209" s="476"/>
      <c r="D209" s="474"/>
      <c r="E209" s="4">
        <f>107+170-297+129-297+193-445+116+58+21+139</f>
        <v>-106</v>
      </c>
      <c r="F209" s="13">
        <v>6.73</v>
      </c>
      <c r="G209" s="478"/>
      <c r="H209" s="480"/>
      <c r="I209" s="3"/>
    </row>
    <row r="210" spans="1:9">
      <c r="A210" s="132">
        <v>130</v>
      </c>
      <c r="B210" s="261" t="s">
        <v>110</v>
      </c>
      <c r="C210" s="203">
        <v>6911</v>
      </c>
      <c r="D210" s="200">
        <f>4869+303+299+146+95+142+264+72+168+325+183</f>
        <v>6866</v>
      </c>
      <c r="E210" s="4">
        <f>C210-D210</f>
        <v>45</v>
      </c>
      <c r="F210" s="13">
        <v>6.73</v>
      </c>
      <c r="G210" s="8">
        <f>E210*F210+H210</f>
        <v>296.12</v>
      </c>
      <c r="H210" s="199">
        <v>-6.73</v>
      </c>
      <c r="I210" s="360"/>
    </row>
    <row r="211" spans="1:9">
      <c r="A211" s="132">
        <v>131</v>
      </c>
      <c r="B211" s="261" t="s">
        <v>111</v>
      </c>
      <c r="C211" s="173">
        <v>16419</v>
      </c>
      <c r="D211" s="172">
        <f>13830+810+25+210+275+161+102+232+205+193+115+76+147+147</f>
        <v>16528</v>
      </c>
      <c r="E211" s="4">
        <f>C211-D211</f>
        <v>-109</v>
      </c>
      <c r="F211" s="13">
        <v>6.73</v>
      </c>
      <c r="G211" s="8"/>
      <c r="H211" s="170">
        <v>-13.46</v>
      </c>
      <c r="I211" s="3"/>
    </row>
    <row r="212" spans="1:9">
      <c r="A212" s="288">
        <v>132</v>
      </c>
      <c r="B212" s="265" t="s">
        <v>112</v>
      </c>
      <c r="C212" s="6">
        <v>7</v>
      </c>
      <c r="D212" s="6">
        <f>2+5</f>
        <v>7</v>
      </c>
      <c r="E212" s="4">
        <f>C212-D212</f>
        <v>0</v>
      </c>
      <c r="F212" s="13">
        <v>6.73</v>
      </c>
      <c r="G212" s="8"/>
      <c r="H212" s="85"/>
      <c r="I212" s="3" t="s">
        <v>16</v>
      </c>
    </row>
    <row r="213" spans="1:9">
      <c r="A213" s="511">
        <v>133</v>
      </c>
      <c r="B213" s="488" t="s">
        <v>113</v>
      </c>
      <c r="C213" s="481">
        <v>6846</v>
      </c>
      <c r="D213" s="473">
        <f>5500+252+243+100+90+363+148+148+148</f>
        <v>6992</v>
      </c>
      <c r="E213" s="4">
        <v>-119</v>
      </c>
      <c r="F213" s="13">
        <v>5.93</v>
      </c>
      <c r="G213" s="477"/>
      <c r="H213" s="479">
        <f>-6.33-1.71-3.96-3.96-3.96</f>
        <v>-19.920000000000002</v>
      </c>
      <c r="I213" s="3"/>
    </row>
    <row r="214" spans="1:9" ht="13.5" customHeight="1">
      <c r="A214" s="511"/>
      <c r="B214" s="522"/>
      <c r="C214" s="521"/>
      <c r="D214" s="484"/>
      <c r="E214" s="4">
        <f>1-363+131+131+152-148+118+96+33-148+1-148+116</f>
        <v>-28</v>
      </c>
      <c r="F214" s="13">
        <v>6.73</v>
      </c>
      <c r="G214" s="478"/>
      <c r="H214" s="487"/>
      <c r="I214" s="3"/>
    </row>
    <row r="215" spans="1:9">
      <c r="A215" s="500">
        <v>134</v>
      </c>
      <c r="B215" s="493" t="s">
        <v>114</v>
      </c>
      <c r="C215" s="481">
        <v>961</v>
      </c>
      <c r="D215" s="481">
        <v>1080</v>
      </c>
      <c r="E215" s="4">
        <v>-119</v>
      </c>
      <c r="F215" s="13">
        <v>6.17</v>
      </c>
      <c r="G215" s="477"/>
      <c r="H215" s="479">
        <v>-1.0900000000000001</v>
      </c>
      <c r="I215" s="3"/>
    </row>
    <row r="216" spans="1:9">
      <c r="A216" s="500"/>
      <c r="B216" s="494"/>
      <c r="C216" s="482"/>
      <c r="D216" s="482"/>
      <c r="E216" s="4"/>
      <c r="F216" s="13">
        <v>6.73</v>
      </c>
      <c r="G216" s="478"/>
      <c r="H216" s="480"/>
      <c r="I216" s="3"/>
    </row>
    <row r="217" spans="1:9">
      <c r="A217" s="511">
        <v>135</v>
      </c>
      <c r="B217" s="488" t="s">
        <v>115</v>
      </c>
      <c r="C217" s="475">
        <v>3075</v>
      </c>
      <c r="D217" s="473">
        <f>2659+324+108</f>
        <v>3091</v>
      </c>
      <c r="E217" s="4">
        <v>-272</v>
      </c>
      <c r="F217" s="13">
        <v>6.17</v>
      </c>
      <c r="G217" s="477">
        <f t="shared" ref="G217" si="4">E217*F217+E218*F218+H217</f>
        <v>40.380000000000102</v>
      </c>
      <c r="H217" s="479">
        <f>-3.75-0.51</f>
        <v>-4.26</v>
      </c>
      <c r="I217" s="3"/>
    </row>
    <row r="218" spans="1:9">
      <c r="A218" s="511"/>
      <c r="B218" s="489"/>
      <c r="C218" s="476"/>
      <c r="D218" s="474"/>
      <c r="E218" s="4">
        <f>46+15+165+129+3-108+6</f>
        <v>256</v>
      </c>
      <c r="F218" s="13">
        <v>6.73</v>
      </c>
      <c r="G218" s="478"/>
      <c r="H218" s="480"/>
      <c r="I218" s="3"/>
    </row>
    <row r="219" spans="1:9">
      <c r="A219" s="289">
        <v>136</v>
      </c>
      <c r="B219" s="274" t="s">
        <v>116</v>
      </c>
      <c r="C219" s="7">
        <v>7119</v>
      </c>
      <c r="D219" s="7">
        <f>5650+87+161+147+273+36+176+384+162</f>
        <v>7076</v>
      </c>
      <c r="E219" s="4">
        <f>C219-D219</f>
        <v>43</v>
      </c>
      <c r="F219" s="13">
        <v>6.73</v>
      </c>
      <c r="G219" s="8">
        <f>E219*F219+H219</f>
        <v>289.39000000000004</v>
      </c>
      <c r="H219" s="85"/>
      <c r="I219" s="3"/>
    </row>
    <row r="220" spans="1:9">
      <c r="A220" s="410">
        <v>137</v>
      </c>
      <c r="B220" s="413" t="s">
        <v>117</v>
      </c>
      <c r="C220" s="408">
        <v>486</v>
      </c>
      <c r="D220" s="408">
        <f>153+43</f>
        <v>196</v>
      </c>
      <c r="E220" s="4">
        <f>C220-D220</f>
        <v>290</v>
      </c>
      <c r="F220" s="13">
        <v>6.73</v>
      </c>
      <c r="G220" s="8">
        <f>E220*F220+H220</f>
        <v>1951.7</v>
      </c>
      <c r="H220" s="412"/>
      <c r="I220" s="406" t="s">
        <v>343</v>
      </c>
    </row>
    <row r="221" spans="1:9">
      <c r="A221" s="500">
        <v>138</v>
      </c>
      <c r="B221" s="493" t="s">
        <v>118</v>
      </c>
      <c r="C221" s="481">
        <v>604</v>
      </c>
      <c r="D221" s="481">
        <f>446+25+57+74</f>
        <v>602</v>
      </c>
      <c r="E221" s="4">
        <v>-27</v>
      </c>
      <c r="F221" s="13">
        <v>6.17</v>
      </c>
      <c r="G221" s="477">
        <f>E221*F221+E222*F222+H221</f>
        <v>26.540000000000013</v>
      </c>
      <c r="H221" s="479">
        <f>-0.06-1.98</f>
        <v>-2.04</v>
      </c>
      <c r="I221" s="3"/>
    </row>
    <row r="222" spans="1:9">
      <c r="A222" s="500"/>
      <c r="B222" s="494"/>
      <c r="C222" s="482"/>
      <c r="D222" s="482"/>
      <c r="E222" s="4">
        <f>12+10+20+4+13+14+5-74+11+2+12</f>
        <v>29</v>
      </c>
      <c r="F222" s="13">
        <v>6.73</v>
      </c>
      <c r="G222" s="478"/>
      <c r="H222" s="480"/>
      <c r="I222" s="3"/>
    </row>
    <row r="223" spans="1:9">
      <c r="A223" s="288">
        <v>139</v>
      </c>
      <c r="B223" s="265" t="s">
        <v>119</v>
      </c>
      <c r="C223" s="6">
        <v>7</v>
      </c>
      <c r="D223" s="6">
        <v>7</v>
      </c>
      <c r="E223" s="4">
        <f>C223-D223</f>
        <v>0</v>
      </c>
      <c r="F223" s="13">
        <v>6.73</v>
      </c>
      <c r="G223" s="8"/>
      <c r="H223" s="85"/>
      <c r="I223" s="3" t="s">
        <v>16</v>
      </c>
    </row>
    <row r="224" spans="1:9" ht="33.75" customHeight="1">
      <c r="A224" s="132">
        <v>140</v>
      </c>
      <c r="B224" s="261" t="s">
        <v>120</v>
      </c>
      <c r="C224" s="40">
        <v>13517</v>
      </c>
      <c r="D224" s="38">
        <f>9195+41+434+986+394+578+368+365+625+314+1</f>
        <v>13301</v>
      </c>
      <c r="E224" s="4">
        <f>C224-D224</f>
        <v>216</v>
      </c>
      <c r="F224" s="13">
        <v>6.73</v>
      </c>
      <c r="G224" s="8">
        <f>E224*F224+H224</f>
        <v>1446.95</v>
      </c>
      <c r="H224" s="85">
        <f>-0.02-6.71</f>
        <v>-6.7299999999999995</v>
      </c>
      <c r="I224" s="358"/>
    </row>
    <row r="225" spans="1:10">
      <c r="A225" s="499">
        <v>141</v>
      </c>
      <c r="B225" s="509" t="s">
        <v>121</v>
      </c>
      <c r="C225" s="507">
        <v>8</v>
      </c>
      <c r="D225" s="507">
        <v>130</v>
      </c>
      <c r="E225" s="4">
        <f>-122-2</f>
        <v>-124</v>
      </c>
      <c r="F225" s="13">
        <v>6.17</v>
      </c>
      <c r="G225" s="477"/>
      <c r="H225" s="479">
        <v>-1.49</v>
      </c>
      <c r="I225" s="3" t="s">
        <v>122</v>
      </c>
    </row>
    <row r="226" spans="1:10">
      <c r="A226" s="499"/>
      <c r="B226" s="510"/>
      <c r="C226" s="508"/>
      <c r="D226" s="508"/>
      <c r="E226" s="4">
        <v>2</v>
      </c>
      <c r="F226" s="13">
        <v>6.73</v>
      </c>
      <c r="G226" s="478"/>
      <c r="H226" s="480"/>
      <c r="I226" s="3"/>
    </row>
    <row r="227" spans="1:10">
      <c r="A227" s="323">
        <v>142</v>
      </c>
      <c r="B227" s="327" t="s">
        <v>123</v>
      </c>
      <c r="C227" s="325">
        <v>19030</v>
      </c>
      <c r="D227" s="324">
        <f>17994+523+128+150+126+89+86</f>
        <v>19096</v>
      </c>
      <c r="E227" s="4">
        <f>C227-D227</f>
        <v>-66</v>
      </c>
      <c r="F227" s="13">
        <v>6.73</v>
      </c>
      <c r="G227" s="8"/>
      <c r="H227" s="326">
        <v>-4</v>
      </c>
    </row>
    <row r="228" spans="1:10" ht="31.5">
      <c r="A228" s="132">
        <v>143</v>
      </c>
      <c r="B228" s="263" t="s">
        <v>314</v>
      </c>
      <c r="C228" s="4">
        <v>15044</v>
      </c>
      <c r="D228" s="5">
        <f>9857+805+796+45+842+476+361+489+331+283+330</f>
        <v>14615</v>
      </c>
      <c r="E228" s="4">
        <f t="shared" ref="E228:E233" si="5">C228-D228</f>
        <v>429</v>
      </c>
      <c r="F228" s="13">
        <v>6.73</v>
      </c>
      <c r="G228" s="8">
        <f t="shared" ref="G228:G232" si="6">E228*F228+H228</f>
        <v>2873.71</v>
      </c>
      <c r="H228" s="85">
        <f>-2.07-4.86-5.41-1.12</f>
        <v>-13.46</v>
      </c>
      <c r="I228" s="25"/>
      <c r="J228" s="1"/>
    </row>
    <row r="229" spans="1:10">
      <c r="A229" s="288">
        <v>144</v>
      </c>
      <c r="B229" s="275" t="s">
        <v>124</v>
      </c>
      <c r="C229" s="208">
        <v>3359</v>
      </c>
      <c r="D229" s="208">
        <f>3051+1+3+126+84</f>
        <v>3265</v>
      </c>
      <c r="E229" s="4">
        <f t="shared" si="5"/>
        <v>94</v>
      </c>
      <c r="F229" s="13">
        <v>6.73</v>
      </c>
      <c r="G229" s="8">
        <f t="shared" si="6"/>
        <v>625.89</v>
      </c>
      <c r="H229" s="207">
        <f>-1.12-5.61</f>
        <v>-6.73</v>
      </c>
      <c r="I229" s="25"/>
      <c r="J229" s="1"/>
    </row>
    <row r="230" spans="1:10" ht="32.25" customHeight="1">
      <c r="A230" s="132">
        <v>145</v>
      </c>
      <c r="B230" s="272" t="s">
        <v>125</v>
      </c>
      <c r="C230" s="228">
        <v>13878</v>
      </c>
      <c r="D230" s="230">
        <f>13158+270+177+139+55+26+48</f>
        <v>13873</v>
      </c>
      <c r="E230" s="4">
        <f t="shared" si="5"/>
        <v>5</v>
      </c>
      <c r="F230" s="13">
        <v>6.73</v>
      </c>
      <c r="G230" s="8">
        <f t="shared" si="6"/>
        <v>6.730000000000004</v>
      </c>
      <c r="H230" s="229">
        <v>-26.92</v>
      </c>
      <c r="I230" s="25"/>
      <c r="J230" s="1"/>
    </row>
    <row r="231" spans="1:10">
      <c r="A231" s="132">
        <v>146</v>
      </c>
      <c r="B231" s="105" t="s">
        <v>324</v>
      </c>
      <c r="C231" s="104">
        <v>8295</v>
      </c>
      <c r="D231" s="102">
        <f>5209+1449+38+34+828+428</f>
        <v>7986</v>
      </c>
      <c r="E231" s="69">
        <f t="shared" si="5"/>
        <v>309</v>
      </c>
      <c r="F231" s="32">
        <v>6.73</v>
      </c>
      <c r="G231" s="8">
        <f t="shared" si="6"/>
        <v>2066.23</v>
      </c>
      <c r="H231" s="103">
        <f>-2.96-6.4-3.98</f>
        <v>-13.34</v>
      </c>
      <c r="I231" s="25"/>
      <c r="J231" s="1"/>
    </row>
    <row r="232" spans="1:10" ht="30" customHeight="1">
      <c r="A232" s="289">
        <v>147</v>
      </c>
      <c r="B232" s="276" t="s">
        <v>126</v>
      </c>
      <c r="C232" s="95">
        <v>60075</v>
      </c>
      <c r="D232" s="101">
        <f>25822+3372+2501+2324+1134+2674+1284+11+2706+2246+2780+5943+3804+2971</f>
        <v>59572</v>
      </c>
      <c r="E232" s="97">
        <f t="shared" si="5"/>
        <v>503</v>
      </c>
      <c r="F232" s="34">
        <v>6.73</v>
      </c>
      <c r="G232" s="96">
        <f t="shared" si="6"/>
        <v>3355.75</v>
      </c>
      <c r="H232" s="85">
        <f>-11.08-3.98-5.6-3.61-5.17</f>
        <v>-29.439999999999998</v>
      </c>
      <c r="I232" s="25" t="s">
        <v>7</v>
      </c>
      <c r="J232" s="1"/>
    </row>
    <row r="233" spans="1:10" ht="28.5" customHeight="1">
      <c r="A233" s="132">
        <v>148</v>
      </c>
      <c r="B233" s="277" t="s">
        <v>127</v>
      </c>
      <c r="C233" s="205">
        <v>654</v>
      </c>
      <c r="D233" s="206">
        <f>81+51+199+79+356</f>
        <v>766</v>
      </c>
      <c r="E233" s="104">
        <f t="shared" si="5"/>
        <v>-112</v>
      </c>
      <c r="F233" s="34">
        <v>6.73</v>
      </c>
      <c r="G233" s="96"/>
      <c r="H233" s="199">
        <v>-3.2</v>
      </c>
      <c r="I233" s="3" t="s">
        <v>44</v>
      </c>
      <c r="J233" s="1"/>
    </row>
    <row r="234" spans="1:10" ht="23.25" customHeight="1">
      <c r="A234" s="511">
        <v>149</v>
      </c>
      <c r="B234" s="495" t="s">
        <v>128</v>
      </c>
      <c r="C234" s="475">
        <v>2569</v>
      </c>
      <c r="D234" s="473">
        <f>252+288+47+340+275+113+371+386+304+193</f>
        <v>2569</v>
      </c>
      <c r="E234" s="4">
        <v>-1</v>
      </c>
      <c r="F234" s="13">
        <v>6.17</v>
      </c>
      <c r="G234" s="501"/>
      <c r="H234" s="479">
        <f>-4.37-3.25-2.79-3.17-2.22-4.08-1.11</f>
        <v>-20.990000000000002</v>
      </c>
      <c r="I234" s="472" t="s">
        <v>44</v>
      </c>
      <c r="J234" s="1"/>
    </row>
    <row r="235" spans="1:10">
      <c r="A235" s="511"/>
      <c r="B235" s="496"/>
      <c r="C235" s="476"/>
      <c r="D235" s="474"/>
      <c r="E235" s="4">
        <f>360-371+397-386+305-304+191-193+2</f>
        <v>1</v>
      </c>
      <c r="F235" s="13">
        <v>6.73</v>
      </c>
      <c r="G235" s="502"/>
      <c r="H235" s="480"/>
      <c r="I235" s="472"/>
      <c r="J235" s="1"/>
    </row>
    <row r="236" spans="1:10">
      <c r="A236" s="511">
        <v>150</v>
      </c>
      <c r="B236" s="495" t="s">
        <v>129</v>
      </c>
      <c r="C236" s="481">
        <v>23727</v>
      </c>
      <c r="D236" s="473">
        <f>22170+486+445+445+297</f>
        <v>23843</v>
      </c>
      <c r="E236" s="4">
        <v>-381</v>
      </c>
      <c r="F236" s="13">
        <v>6.17</v>
      </c>
      <c r="G236" s="501"/>
      <c r="H236" s="479">
        <f>-5.44-5.15-5.15-1.19</f>
        <v>-16.93</v>
      </c>
      <c r="I236" s="3"/>
      <c r="J236" s="1"/>
    </row>
    <row r="237" spans="1:10">
      <c r="A237" s="511"/>
      <c r="B237" s="496"/>
      <c r="C237" s="482"/>
      <c r="D237" s="474"/>
      <c r="E237" s="4">
        <f>45+411-445+202+235-445+217+124+159-297+59</f>
        <v>265</v>
      </c>
      <c r="F237" s="13">
        <v>6.73</v>
      </c>
      <c r="G237" s="502"/>
      <c r="H237" s="480"/>
      <c r="I237" s="3"/>
      <c r="J237" s="1"/>
    </row>
    <row r="238" spans="1:10">
      <c r="A238" s="291">
        <v>151</v>
      </c>
      <c r="B238" s="261" t="s">
        <v>130</v>
      </c>
      <c r="C238" s="201">
        <v>5581</v>
      </c>
      <c r="D238" s="200">
        <f>4500+164+174+74+97+317+153</f>
        <v>5479</v>
      </c>
      <c r="E238" s="4">
        <f>C238-D238</f>
        <v>102</v>
      </c>
      <c r="F238" s="13">
        <v>6.73</v>
      </c>
      <c r="G238" s="204">
        <f>E238*F238+H238</f>
        <v>686.46</v>
      </c>
      <c r="H238" s="199"/>
      <c r="I238" s="3"/>
    </row>
    <row r="239" spans="1:10">
      <c r="A239" s="511">
        <v>152</v>
      </c>
      <c r="B239" s="495" t="s">
        <v>131</v>
      </c>
      <c r="C239" s="481">
        <v>17946</v>
      </c>
      <c r="D239" s="473">
        <f>15264+1036+101+378+321+528+69+135+74+43+10</f>
        <v>17959</v>
      </c>
      <c r="E239" s="4">
        <v>-160</v>
      </c>
      <c r="F239" s="13">
        <v>6.17</v>
      </c>
      <c r="G239" s="501"/>
      <c r="H239" s="479">
        <v>-2.11</v>
      </c>
      <c r="I239" s="3"/>
    </row>
    <row r="240" spans="1:10">
      <c r="A240" s="511"/>
      <c r="B240" s="496"/>
      <c r="C240" s="482"/>
      <c r="D240" s="474"/>
      <c r="E240" s="4">
        <f>2+2+2+29+76+105-69+135-135+74-74+43-43+10-10</f>
        <v>147</v>
      </c>
      <c r="F240" s="13">
        <v>6.73</v>
      </c>
      <c r="G240" s="502"/>
      <c r="H240" s="480"/>
      <c r="I240" s="3"/>
    </row>
    <row r="241" spans="1:10" ht="31.5">
      <c r="A241" s="289">
        <v>153</v>
      </c>
      <c r="B241" s="261" t="s">
        <v>132</v>
      </c>
      <c r="C241" s="117">
        <v>8594</v>
      </c>
      <c r="D241" s="116">
        <f>5633+168+132+434+73+62+1121+376</f>
        <v>7999</v>
      </c>
      <c r="E241" s="174">
        <f>C241-D241</f>
        <v>595</v>
      </c>
      <c r="F241" s="32">
        <v>6.73</v>
      </c>
      <c r="G241" s="118">
        <f>E241*F241+H241</f>
        <v>3986.4000000000005</v>
      </c>
      <c r="H241" s="115">
        <f>-6.24-6.1-1.33-0.08-4.2</f>
        <v>-17.95</v>
      </c>
      <c r="I241" s="3" t="s">
        <v>7</v>
      </c>
    </row>
    <row r="242" spans="1:10" ht="30" customHeight="1">
      <c r="A242" s="292">
        <v>154</v>
      </c>
      <c r="B242" s="278" t="s">
        <v>302</v>
      </c>
      <c r="C242" s="503" t="s">
        <v>296</v>
      </c>
      <c r="D242" s="503"/>
      <c r="E242" s="503"/>
      <c r="F242" s="503"/>
      <c r="G242" s="503"/>
      <c r="H242" s="503"/>
      <c r="I242" s="30"/>
    </row>
    <row r="243" spans="1:10">
      <c r="A243" s="511">
        <v>155</v>
      </c>
      <c r="B243" s="495" t="s">
        <v>133</v>
      </c>
      <c r="C243" s="483">
        <v>5811</v>
      </c>
      <c r="D243" s="484">
        <f>4459+67+8+190+56+405+117+289+133+118</f>
        <v>5842</v>
      </c>
      <c r="E243" s="175">
        <v>-109</v>
      </c>
      <c r="F243" s="33">
        <v>6.17</v>
      </c>
      <c r="G243" s="501"/>
      <c r="H243" s="487">
        <f>-6.59-0.61-4.91-5.86</f>
        <v>-17.97</v>
      </c>
      <c r="I243" s="57"/>
      <c r="J243" s="1"/>
    </row>
    <row r="244" spans="1:10">
      <c r="A244" s="511"/>
      <c r="B244" s="496"/>
      <c r="C244" s="476"/>
      <c r="D244" s="474"/>
      <c r="E244" s="4">
        <f>1+1+1+1+99+48-117+122+195+39-289+122+14-133+2+2+1+1+1-118+84</f>
        <v>77</v>
      </c>
      <c r="F244" s="13">
        <v>6.73</v>
      </c>
      <c r="G244" s="502"/>
      <c r="H244" s="480"/>
      <c r="I244" s="57"/>
      <c r="J244" s="1"/>
    </row>
    <row r="245" spans="1:10" ht="31.5">
      <c r="A245" s="132">
        <v>156</v>
      </c>
      <c r="B245" s="261" t="s">
        <v>134</v>
      </c>
      <c r="C245" s="218">
        <v>7507</v>
      </c>
      <c r="D245" s="217">
        <f>7015+59+144+288</f>
        <v>7506</v>
      </c>
      <c r="E245" s="4">
        <f>C245-D245</f>
        <v>1</v>
      </c>
      <c r="F245" s="13">
        <v>6.73</v>
      </c>
      <c r="G245" s="8"/>
      <c r="H245" s="216">
        <f>-3.52-3.21</f>
        <v>-6.73</v>
      </c>
      <c r="I245" s="3"/>
    </row>
    <row r="246" spans="1:10">
      <c r="A246" s="132">
        <v>157</v>
      </c>
      <c r="B246" s="263" t="s">
        <v>135</v>
      </c>
      <c r="C246" s="4">
        <v>21136</v>
      </c>
      <c r="D246" s="5">
        <f>8596+2023+947+999+329+3+405+856+983+7+742+1437+2+561+420+459+483+676+1105</f>
        <v>21033</v>
      </c>
      <c r="E246" s="4">
        <f>C246-D246</f>
        <v>103</v>
      </c>
      <c r="F246" s="13">
        <v>6.73</v>
      </c>
      <c r="G246" s="8">
        <f t="shared" ref="G246" si="7">E246*F246+H246</f>
        <v>693.19</v>
      </c>
      <c r="H246" s="85"/>
      <c r="I246" s="3"/>
    </row>
    <row r="247" spans="1:10">
      <c r="A247" s="289">
        <v>158</v>
      </c>
      <c r="B247" s="267" t="s">
        <v>136</v>
      </c>
      <c r="C247" s="242">
        <v>5025</v>
      </c>
      <c r="D247" s="241">
        <f>3946+57+148+111+222+611</f>
        <v>5095</v>
      </c>
      <c r="E247" s="4">
        <f>C247-D247</f>
        <v>-70</v>
      </c>
      <c r="F247" s="13">
        <v>6.73</v>
      </c>
      <c r="G247" s="8"/>
      <c r="H247" s="239"/>
      <c r="I247" s="3"/>
    </row>
    <row r="248" spans="1:10" ht="17.25" customHeight="1">
      <c r="A248" s="288">
        <v>159</v>
      </c>
      <c r="B248" s="265" t="s">
        <v>137</v>
      </c>
      <c r="C248" s="6">
        <v>2</v>
      </c>
      <c r="D248" s="6">
        <v>0</v>
      </c>
      <c r="E248" s="4">
        <f>C248-D248</f>
        <v>2</v>
      </c>
      <c r="F248" s="13">
        <v>5.93</v>
      </c>
      <c r="G248" s="8">
        <f>E248*F248+H248</f>
        <v>11.86</v>
      </c>
      <c r="H248" s="85"/>
      <c r="I248" s="3" t="s">
        <v>16</v>
      </c>
    </row>
    <row r="249" spans="1:10" ht="30" customHeight="1">
      <c r="A249" s="289">
        <v>160</v>
      </c>
      <c r="B249" s="263" t="s">
        <v>138</v>
      </c>
      <c r="C249" s="504" t="s">
        <v>296</v>
      </c>
      <c r="D249" s="505"/>
      <c r="E249" s="505"/>
      <c r="F249" s="505"/>
      <c r="G249" s="505"/>
      <c r="H249" s="506"/>
      <c r="I249" s="3"/>
    </row>
    <row r="250" spans="1:10">
      <c r="A250" s="511">
        <v>161</v>
      </c>
      <c r="B250" s="619" t="s">
        <v>139</v>
      </c>
      <c r="C250" s="481">
        <v>7894</v>
      </c>
      <c r="D250" s="473">
        <f>6082+674+478+230+445</f>
        <v>7909</v>
      </c>
      <c r="E250" s="4">
        <v>-131</v>
      </c>
      <c r="F250" s="13">
        <v>5.93</v>
      </c>
      <c r="G250" s="477"/>
      <c r="H250" s="85">
        <f>-6.02-5.15</f>
        <v>-11.17</v>
      </c>
      <c r="I250" s="3"/>
    </row>
    <row r="251" spans="1:10">
      <c r="A251" s="511"/>
      <c r="B251" s="620"/>
      <c r="C251" s="482"/>
      <c r="D251" s="474"/>
      <c r="E251" s="4">
        <f>15+44-230+48+7-445+126+179+225+32+33+22+60</f>
        <v>116</v>
      </c>
      <c r="F251" s="13">
        <v>6.73</v>
      </c>
      <c r="G251" s="478"/>
      <c r="H251" s="85"/>
      <c r="I251" s="3"/>
    </row>
    <row r="252" spans="1:10" ht="30" customHeight="1">
      <c r="A252" s="132">
        <v>162</v>
      </c>
      <c r="B252" s="266" t="s">
        <v>140</v>
      </c>
      <c r="C252" s="4"/>
      <c r="D252" s="5"/>
      <c r="E252" s="4"/>
      <c r="F252" s="13"/>
      <c r="G252" s="8"/>
      <c r="H252" s="85"/>
      <c r="I252" s="3"/>
    </row>
    <row r="253" spans="1:10" ht="45.75" customHeight="1">
      <c r="A253" s="289">
        <v>163</v>
      </c>
      <c r="B253" s="267" t="s">
        <v>141</v>
      </c>
      <c r="C253" s="139">
        <v>2440</v>
      </c>
      <c r="D253" s="140">
        <f>270+425+104+83+690+36+89+699</f>
        <v>2396</v>
      </c>
      <c r="E253" s="4">
        <f>C253-D253</f>
        <v>44</v>
      </c>
      <c r="F253" s="13">
        <v>6.73</v>
      </c>
      <c r="G253" s="138">
        <f>E253*F253+H253</f>
        <v>289.39</v>
      </c>
      <c r="H253" s="143">
        <f>-0.42-1.03-5.28</f>
        <v>-6.73</v>
      </c>
      <c r="I253" s="414" t="s">
        <v>379</v>
      </c>
    </row>
    <row r="254" spans="1:10">
      <c r="A254" s="511">
        <v>164</v>
      </c>
      <c r="B254" s="495" t="s">
        <v>142</v>
      </c>
      <c r="C254" s="475">
        <v>2557</v>
      </c>
      <c r="D254" s="473">
        <f>2669+139</f>
        <v>2808</v>
      </c>
      <c r="E254" s="4">
        <v>-278</v>
      </c>
      <c r="F254" s="13">
        <v>6.17</v>
      </c>
      <c r="G254" s="477"/>
      <c r="H254" s="479">
        <f>-2.22-2.37</f>
        <v>-4.59</v>
      </c>
      <c r="I254" s="3"/>
    </row>
    <row r="255" spans="1:10">
      <c r="A255" s="511"/>
      <c r="B255" s="496"/>
      <c r="C255" s="476"/>
      <c r="D255" s="474"/>
      <c r="E255" s="4">
        <f>19+8</f>
        <v>27</v>
      </c>
      <c r="F255" s="13">
        <v>6.73</v>
      </c>
      <c r="G255" s="478"/>
      <c r="H255" s="480"/>
      <c r="I255" s="3"/>
    </row>
    <row r="256" spans="1:10">
      <c r="A256" s="511">
        <v>165</v>
      </c>
      <c r="B256" s="495" t="s">
        <v>143</v>
      </c>
      <c r="C256" s="475">
        <v>2431</v>
      </c>
      <c r="D256" s="473">
        <f>2047+191+297</f>
        <v>2535</v>
      </c>
      <c r="E256" s="4">
        <v>-174</v>
      </c>
      <c r="F256" s="13">
        <v>6.17</v>
      </c>
      <c r="G256" s="477"/>
      <c r="H256" s="85">
        <f>-1.47-5.53-1.19</f>
        <v>-8.19</v>
      </c>
      <c r="I256" s="3"/>
    </row>
    <row r="257" spans="1:9">
      <c r="A257" s="511"/>
      <c r="B257" s="496"/>
      <c r="C257" s="476"/>
      <c r="D257" s="474"/>
      <c r="E257" s="4">
        <f>5+6+43+13+40-297+59+48+38+25+48+42</f>
        <v>70</v>
      </c>
      <c r="F257" s="13">
        <v>6.73</v>
      </c>
      <c r="G257" s="478"/>
      <c r="H257" s="85"/>
      <c r="I257" s="3"/>
    </row>
    <row r="258" spans="1:9">
      <c r="A258" s="299">
        <v>166</v>
      </c>
      <c r="B258" s="301" t="s">
        <v>144</v>
      </c>
      <c r="C258" s="304">
        <v>8832</v>
      </c>
      <c r="D258" s="305">
        <f>8105+66+98+340+73</f>
        <v>8682</v>
      </c>
      <c r="E258" s="304">
        <f>C258-D258</f>
        <v>150</v>
      </c>
      <c r="F258" s="37">
        <v>6.73</v>
      </c>
      <c r="G258" s="306">
        <f>E258*F258+H258</f>
        <v>1002.7700000000001</v>
      </c>
      <c r="H258" s="103">
        <v>-6.73</v>
      </c>
      <c r="I258" s="3"/>
    </row>
    <row r="259" spans="1:9" ht="29.25" customHeight="1">
      <c r="A259" s="292">
        <v>167</v>
      </c>
      <c r="B259" s="261" t="s">
        <v>304</v>
      </c>
      <c r="C259" s="518" t="s">
        <v>296</v>
      </c>
      <c r="D259" s="519"/>
      <c r="E259" s="519"/>
      <c r="F259" s="519"/>
      <c r="G259" s="519"/>
      <c r="H259" s="520"/>
      <c r="I259" s="30" t="s">
        <v>329</v>
      </c>
    </row>
    <row r="260" spans="1:9">
      <c r="A260" s="500">
        <v>168</v>
      </c>
      <c r="B260" s="497" t="s">
        <v>145</v>
      </c>
      <c r="C260" s="481">
        <v>14852</v>
      </c>
      <c r="D260" s="473">
        <f>10975+600+105+223+648+972+445+891</f>
        <v>14859</v>
      </c>
      <c r="E260" s="4">
        <v>-603</v>
      </c>
      <c r="F260" s="13">
        <v>6.17</v>
      </c>
      <c r="G260" s="477">
        <f>E260*F260+E261*F261+H260</f>
        <v>275.81000000000063</v>
      </c>
      <c r="H260" s="479">
        <f>-2.76-1.44-1.84-5.15-3.57</f>
        <v>-14.76</v>
      </c>
      <c r="I260" s="3"/>
    </row>
    <row r="261" spans="1:9">
      <c r="A261" s="500"/>
      <c r="B261" s="498"/>
      <c r="C261" s="482"/>
      <c r="D261" s="474"/>
      <c r="E261" s="4">
        <f>42+24+371+187+177-445+261+230+310-891+63+267</f>
        <v>596</v>
      </c>
      <c r="F261" s="13">
        <v>6.73</v>
      </c>
      <c r="G261" s="478"/>
      <c r="H261" s="480"/>
      <c r="I261" s="3"/>
    </row>
    <row r="262" spans="1:9">
      <c r="A262" s="132">
        <v>169</v>
      </c>
      <c r="B262" s="261" t="s">
        <v>146</v>
      </c>
      <c r="C262" s="169">
        <v>6896</v>
      </c>
      <c r="D262" s="172">
        <f>5343+389+193+188+95+133+124+65+100+149+13+9</f>
        <v>6801</v>
      </c>
      <c r="E262" s="4">
        <f>C262-D262</f>
        <v>95</v>
      </c>
      <c r="F262" s="13">
        <v>6.73</v>
      </c>
      <c r="G262" s="460">
        <f>E262*F262+H262</f>
        <v>632.62</v>
      </c>
      <c r="H262" s="170">
        <v>-6.73</v>
      </c>
      <c r="I262" s="48"/>
    </row>
    <row r="263" spans="1:9" ht="33.75" customHeight="1">
      <c r="A263" s="132">
        <v>170</v>
      </c>
      <c r="B263" s="279" t="s">
        <v>147</v>
      </c>
      <c r="C263" s="189">
        <v>7874</v>
      </c>
      <c r="D263" s="186">
        <f>5415+50+276+486+427+103+445+445</f>
        <v>7647</v>
      </c>
      <c r="E263" s="188">
        <f>C263-D263</f>
        <v>227</v>
      </c>
      <c r="F263" s="32">
        <v>6.73</v>
      </c>
      <c r="G263" s="415">
        <f>E263*F263+H263</f>
        <v>1510.68</v>
      </c>
      <c r="H263" s="185">
        <f>-1.96-4.77-5.15-5.15</f>
        <v>-17.03</v>
      </c>
      <c r="I263" s="3"/>
    </row>
    <row r="264" spans="1:9" ht="27" customHeight="1">
      <c r="A264" s="132">
        <v>171</v>
      </c>
      <c r="B264" s="514" t="s">
        <v>148</v>
      </c>
      <c r="C264" s="515"/>
      <c r="D264" s="515"/>
      <c r="E264" s="515"/>
      <c r="F264" s="515"/>
      <c r="G264" s="515"/>
      <c r="H264" s="515"/>
      <c r="I264" s="3"/>
    </row>
    <row r="265" spans="1:9">
      <c r="A265" s="132">
        <v>172</v>
      </c>
      <c r="B265" s="280" t="s">
        <v>334</v>
      </c>
      <c r="C265" s="444">
        <v>1339</v>
      </c>
      <c r="D265" s="445">
        <f>911+168+13+68+65+26+30+33</f>
        <v>1314</v>
      </c>
      <c r="E265" s="446">
        <f>C265-D265</f>
        <v>25</v>
      </c>
      <c r="F265" s="447">
        <v>6.73</v>
      </c>
      <c r="G265" s="443">
        <f>E265*F265+H265</f>
        <v>147.06</v>
      </c>
      <c r="H265" s="103">
        <v>-21.19</v>
      </c>
      <c r="I265" s="3"/>
    </row>
    <row r="266" spans="1:9">
      <c r="A266" s="132">
        <v>173</v>
      </c>
      <c r="B266" s="261" t="s">
        <v>149</v>
      </c>
      <c r="C266" s="516" t="s">
        <v>296</v>
      </c>
      <c r="D266" s="517"/>
      <c r="E266" s="517"/>
      <c r="F266" s="517"/>
      <c r="G266" s="517"/>
      <c r="H266" s="448"/>
      <c r="I266" s="3"/>
    </row>
    <row r="267" spans="1:9" ht="31.5">
      <c r="A267" s="132">
        <v>174</v>
      </c>
      <c r="B267" s="261" t="s">
        <v>150</v>
      </c>
      <c r="C267" s="490" t="s">
        <v>296</v>
      </c>
      <c r="D267" s="491"/>
      <c r="E267" s="491"/>
      <c r="F267" s="491"/>
      <c r="G267" s="492"/>
      <c r="H267" s="442"/>
      <c r="I267" s="3" t="s">
        <v>328</v>
      </c>
    </row>
    <row r="268" spans="1:9" ht="30" customHeight="1">
      <c r="A268" s="132">
        <v>175</v>
      </c>
      <c r="B268" s="261" t="s">
        <v>151</v>
      </c>
      <c r="C268" s="148">
        <v>6146</v>
      </c>
      <c r="D268" s="144">
        <f>4457+44+311+71+48+20+93+94+3+23+26+267+63+95+84+104+126+11+74+63</f>
        <v>6077</v>
      </c>
      <c r="E268" s="4">
        <f>C268-D268</f>
        <v>69</v>
      </c>
      <c r="F268" s="13">
        <v>6.73</v>
      </c>
      <c r="G268" s="146">
        <f>E268*F268+H268</f>
        <v>413.63</v>
      </c>
      <c r="H268" s="85">
        <f>-10.36-2.6-5.55-0.02-1.7-0.02-3.09-6-5.65-4.68-0.08-2.03-0.97-1.98-6.01</f>
        <v>-50.739999999999988</v>
      </c>
      <c r="I268" s="3"/>
    </row>
    <row r="269" spans="1:9">
      <c r="A269" s="511">
        <v>176</v>
      </c>
      <c r="B269" s="488" t="s">
        <v>152</v>
      </c>
      <c r="C269" s="512">
        <v>3146</v>
      </c>
      <c r="D269" s="473">
        <f>2470+58+145+3+145+148+44</f>
        <v>3013</v>
      </c>
      <c r="E269" s="4">
        <v>-3</v>
      </c>
      <c r="F269" s="13">
        <v>5.93</v>
      </c>
      <c r="G269" s="477">
        <f>E269*F269+E270*F270+H269</f>
        <v>884.41000000000008</v>
      </c>
      <c r="H269" s="479">
        <f>-12.34-0.72-5.64-3.96-3.88</f>
        <v>-26.54</v>
      </c>
      <c r="I269" s="3"/>
    </row>
    <row r="270" spans="1:9">
      <c r="A270" s="511"/>
      <c r="B270" s="489"/>
      <c r="C270" s="513"/>
      <c r="D270" s="474"/>
      <c r="E270" s="4">
        <f>10+43-145+78+56-148+45+53+56-44+38+96</f>
        <v>138</v>
      </c>
      <c r="F270" s="13">
        <v>6.73</v>
      </c>
      <c r="G270" s="478"/>
      <c r="H270" s="480"/>
      <c r="I270" s="3"/>
    </row>
    <row r="271" spans="1:9">
      <c r="A271" s="511">
        <v>177</v>
      </c>
      <c r="B271" s="495" t="s">
        <v>153</v>
      </c>
      <c r="C271" s="475">
        <v>8093</v>
      </c>
      <c r="D271" s="473">
        <f>6916+21+790+148+445</f>
        <v>8320</v>
      </c>
      <c r="E271" s="4">
        <v>-338</v>
      </c>
      <c r="F271" s="13">
        <v>6.17</v>
      </c>
      <c r="G271" s="477"/>
      <c r="H271" s="479">
        <f>-1.17-3.96-5.15</f>
        <v>-10.280000000000001</v>
      </c>
      <c r="I271" s="3"/>
    </row>
    <row r="272" spans="1:9">
      <c r="A272" s="511"/>
      <c r="B272" s="496"/>
      <c r="C272" s="476"/>
      <c r="D272" s="474"/>
      <c r="E272" s="4">
        <f>80+159+133-148+143-445+86+75+2+26</f>
        <v>111</v>
      </c>
      <c r="F272" s="13">
        <v>6.73</v>
      </c>
      <c r="G272" s="478"/>
      <c r="H272" s="480"/>
      <c r="I272" s="3"/>
    </row>
    <row r="273" spans="1:9">
      <c r="A273" s="511">
        <v>178</v>
      </c>
      <c r="B273" s="488" t="s">
        <v>154</v>
      </c>
      <c r="C273" s="481">
        <v>11399</v>
      </c>
      <c r="D273" s="473">
        <f>9326+337+168+20+142+162+486+11+435+148+110+62</f>
        <v>11407</v>
      </c>
      <c r="E273" s="4">
        <v>-149</v>
      </c>
      <c r="F273" s="13">
        <v>5.93</v>
      </c>
      <c r="G273" s="477"/>
      <c r="H273" s="479">
        <f>-5.02-4.58-3.96-4.7-0.74</f>
        <v>-18.999999999999996</v>
      </c>
      <c r="I273" s="3"/>
    </row>
    <row r="274" spans="1:9">
      <c r="A274" s="511"/>
      <c r="B274" s="489"/>
      <c r="C274" s="482"/>
      <c r="D274" s="474"/>
      <c r="E274" s="4">
        <f>189-435+117+187+174-148+160-110+62-62</f>
        <v>134</v>
      </c>
      <c r="F274" s="13">
        <v>6.73</v>
      </c>
      <c r="G274" s="478"/>
      <c r="H274" s="480"/>
      <c r="I274" s="3"/>
    </row>
    <row r="275" spans="1:9" ht="35.25" customHeight="1">
      <c r="A275" s="132">
        <v>179</v>
      </c>
      <c r="B275" s="272" t="s">
        <v>155</v>
      </c>
      <c r="C275" s="114">
        <v>11638</v>
      </c>
      <c r="D275" s="113">
        <f>10195+43+165+218+8+4+17+10+21+30+265+54+73+117+158+31+20+29+43</f>
        <v>11501</v>
      </c>
      <c r="E275" s="4">
        <f>C275-D275</f>
        <v>137</v>
      </c>
      <c r="F275" s="13">
        <v>6.73</v>
      </c>
      <c r="G275" s="111">
        <f>E275*F275+H275</f>
        <v>853.87000000000012</v>
      </c>
      <c r="H275" s="112">
        <f>-27.84-1.55-4.58-6.71-6.59-0.66-6.37-6.4-0.83-6.61</f>
        <v>-68.139999999999986</v>
      </c>
      <c r="I275" s="3"/>
    </row>
    <row r="276" spans="1:9" ht="21" customHeight="1">
      <c r="A276" s="289">
        <v>180</v>
      </c>
      <c r="B276" s="267" t="s">
        <v>156</v>
      </c>
      <c r="C276" s="145">
        <v>3184</v>
      </c>
      <c r="D276" s="144">
        <f>2125+96+79+66+189+92+73+93+100+177+15</f>
        <v>3105</v>
      </c>
      <c r="E276" s="4">
        <f>C276-D276</f>
        <v>79</v>
      </c>
      <c r="F276" s="13">
        <v>6.73</v>
      </c>
      <c r="G276" s="146">
        <f>E276*F276+H276</f>
        <v>531.67000000000007</v>
      </c>
      <c r="H276" s="147"/>
      <c r="I276" s="3"/>
    </row>
    <row r="277" spans="1:9">
      <c r="A277" s="511">
        <v>181</v>
      </c>
      <c r="B277" s="488" t="s">
        <v>157</v>
      </c>
      <c r="C277" s="475">
        <f>2177+54+19+1+7+84</f>
        <v>2342</v>
      </c>
      <c r="D277" s="473">
        <f>2374+297</f>
        <v>2671</v>
      </c>
      <c r="E277" s="4">
        <v>-197</v>
      </c>
      <c r="F277" s="13">
        <v>6.17</v>
      </c>
      <c r="G277" s="477">
        <f>E277*F277+E278*F278+H277</f>
        <v>1894.4100000000003</v>
      </c>
      <c r="H277" s="479">
        <v>-6.09</v>
      </c>
      <c r="I277" s="3" t="s">
        <v>343</v>
      </c>
    </row>
    <row r="278" spans="1:9">
      <c r="A278" s="511"/>
      <c r="B278" s="489"/>
      <c r="C278" s="476"/>
      <c r="D278" s="474"/>
      <c r="E278" s="4">
        <f>297+54+19+1+1+7+84</f>
        <v>463</v>
      </c>
      <c r="F278" s="13">
        <v>6.73</v>
      </c>
      <c r="G278" s="478"/>
      <c r="H278" s="480"/>
      <c r="I278" s="3"/>
    </row>
    <row r="279" spans="1:9">
      <c r="A279" s="350">
        <v>182</v>
      </c>
      <c r="B279" s="354" t="s">
        <v>158</v>
      </c>
      <c r="C279" s="353">
        <v>4315</v>
      </c>
      <c r="D279" s="351">
        <f>3808+139+161+74+19+35+43</f>
        <v>4279</v>
      </c>
      <c r="E279" s="4">
        <f t="shared" ref="E279" si="8">C279-D279</f>
        <v>36</v>
      </c>
      <c r="F279" s="71">
        <v>6.73</v>
      </c>
      <c r="G279" s="8">
        <f t="shared" ref="G279" si="9">E279*F279+H279</f>
        <v>242.28000000000003</v>
      </c>
      <c r="H279" s="355"/>
      <c r="I279" s="3"/>
    </row>
    <row r="280" spans="1:9" ht="30.75" customHeight="1">
      <c r="A280" s="132">
        <v>183</v>
      </c>
      <c r="B280" s="266" t="s">
        <v>75</v>
      </c>
      <c r="C280" s="14"/>
      <c r="D280" s="15"/>
      <c r="E280" s="4"/>
      <c r="F280" s="71"/>
      <c r="G280" s="8"/>
      <c r="H280" s="85"/>
      <c r="I280" s="3"/>
    </row>
    <row r="281" spans="1:9" ht="30" customHeight="1">
      <c r="A281" s="132">
        <v>184</v>
      </c>
      <c r="B281" s="261" t="s">
        <v>159</v>
      </c>
      <c r="C281" s="228">
        <v>17219</v>
      </c>
      <c r="D281" s="230">
        <f>11408+843+843+175+156+324+494+191+278+453+453+453</f>
        <v>16071</v>
      </c>
      <c r="E281" s="4">
        <f>C281-D281</f>
        <v>1148</v>
      </c>
      <c r="F281" s="71">
        <v>6.73</v>
      </c>
      <c r="G281" s="8">
        <f>E281*F281+H281</f>
        <v>7712.8300000000008</v>
      </c>
      <c r="H281" s="229">
        <f>-2.67-2.02-1.59-2.31-2.31-2.31</f>
        <v>-13.21</v>
      </c>
      <c r="I281" s="3" t="s">
        <v>7</v>
      </c>
    </row>
    <row r="282" spans="1:9" ht="31.5">
      <c r="A282" s="292">
        <v>185</v>
      </c>
      <c r="B282" s="264" t="s">
        <v>160</v>
      </c>
      <c r="C282" s="154">
        <v>17066</v>
      </c>
      <c r="D282" s="153">
        <f>13334+185+227+227+243+210+345+340+51+4+33+386+252+222+200+202+289+4</f>
        <v>16754</v>
      </c>
      <c r="E282" s="4">
        <f>C282-D282</f>
        <v>312</v>
      </c>
      <c r="F282" s="71">
        <v>6.73</v>
      </c>
      <c r="G282" s="8">
        <f t="shared" ref="G282:G285" si="10">E282*F282+H282</f>
        <v>2044.7500000000002</v>
      </c>
      <c r="H282" s="152">
        <f>-13.75-4.3-1.35-2.2-5.33-3.23-2.22-4.04-5.94-4-0.54-5.03-3.08</f>
        <v>-55.01</v>
      </c>
      <c r="I282" s="3"/>
    </row>
    <row r="283" spans="1:9" ht="26.25" customHeight="1">
      <c r="A283" s="132">
        <v>186</v>
      </c>
      <c r="B283" s="272" t="s">
        <v>161</v>
      </c>
      <c r="C283" s="67">
        <v>14601</v>
      </c>
      <c r="D283" s="65">
        <f>10845+505+505+200+199+210+298+146+325+321+221+238</f>
        <v>14013</v>
      </c>
      <c r="E283" s="4">
        <f>C283-D283</f>
        <v>588</v>
      </c>
      <c r="F283" s="13">
        <v>6.73</v>
      </c>
      <c r="G283" s="8">
        <f t="shared" si="10"/>
        <v>3950.51</v>
      </c>
      <c r="H283" s="85">
        <v>-6.73</v>
      </c>
      <c r="I283" s="3" t="s">
        <v>7</v>
      </c>
    </row>
    <row r="284" spans="1:9" ht="31.5">
      <c r="A284" s="132">
        <v>187</v>
      </c>
      <c r="B284" s="263" t="s">
        <v>162</v>
      </c>
      <c r="C284" s="4">
        <v>18534</v>
      </c>
      <c r="D284" s="5">
        <f>13276+798+247+222+264+652+231+592+353+298+267+358+246+58</f>
        <v>17862</v>
      </c>
      <c r="E284" s="4">
        <f>C284-D284</f>
        <v>672</v>
      </c>
      <c r="F284" s="13">
        <v>6.73</v>
      </c>
      <c r="G284" s="8">
        <f t="shared" si="10"/>
        <v>4502.3700000000008</v>
      </c>
      <c r="H284" s="85">
        <f>-0.09-6.73-0.31-6.46-0.66-5.94</f>
        <v>-20.190000000000001</v>
      </c>
      <c r="I284" s="3" t="s">
        <v>7</v>
      </c>
    </row>
    <row r="285" spans="1:9" ht="47.25">
      <c r="A285" s="289">
        <v>188</v>
      </c>
      <c r="B285" s="267" t="s">
        <v>336</v>
      </c>
      <c r="C285" s="179">
        <v>640</v>
      </c>
      <c r="D285" s="178">
        <v>0</v>
      </c>
      <c r="E285" s="4">
        <f>C285-D285</f>
        <v>640</v>
      </c>
      <c r="F285" s="13">
        <v>6.73</v>
      </c>
      <c r="G285" s="8">
        <f t="shared" si="10"/>
        <v>4307.2000000000007</v>
      </c>
      <c r="H285" s="85"/>
      <c r="I285" s="3" t="s">
        <v>380</v>
      </c>
    </row>
    <row r="286" spans="1:9">
      <c r="A286" s="500">
        <v>189</v>
      </c>
      <c r="B286" s="497" t="s">
        <v>163</v>
      </c>
      <c r="C286" s="481">
        <v>4</v>
      </c>
      <c r="D286" s="473">
        <v>182</v>
      </c>
      <c r="E286" s="4">
        <v>-178</v>
      </c>
      <c r="F286" s="13">
        <v>6.17</v>
      </c>
      <c r="G286" s="477"/>
      <c r="H286" s="479">
        <v>-4.72</v>
      </c>
      <c r="I286" s="3"/>
    </row>
    <row r="287" spans="1:9">
      <c r="A287" s="500"/>
      <c r="B287" s="498"/>
      <c r="C287" s="482"/>
      <c r="D287" s="474"/>
      <c r="E287" s="4"/>
      <c r="F287" s="13">
        <v>6.73</v>
      </c>
      <c r="G287" s="478"/>
      <c r="H287" s="480"/>
      <c r="I287" s="3"/>
    </row>
    <row r="288" spans="1:9">
      <c r="A288" s="511">
        <v>190</v>
      </c>
      <c r="B288" s="495" t="s">
        <v>163</v>
      </c>
      <c r="C288" s="475">
        <v>2784</v>
      </c>
      <c r="D288" s="473">
        <f>1157+1040</f>
        <v>2197</v>
      </c>
      <c r="E288" s="4">
        <v>-285</v>
      </c>
      <c r="F288" s="13">
        <v>6.17</v>
      </c>
      <c r="G288" s="477">
        <f t="shared" ref="G288" si="11">E288*F288+E289*F289+H288</f>
        <v>4105.0200000000004</v>
      </c>
      <c r="H288" s="479">
        <f>-4.29-0.8</f>
        <v>-5.09</v>
      </c>
      <c r="I288" s="3" t="s">
        <v>311</v>
      </c>
    </row>
    <row r="289" spans="1:9" ht="31.5">
      <c r="A289" s="511"/>
      <c r="B289" s="496"/>
      <c r="C289" s="476"/>
      <c r="D289" s="474"/>
      <c r="E289" s="4">
        <f>40+25+43+38+175+224+124-1040+256+177+141+137+34+50+27+30+42+144+205</f>
        <v>872</v>
      </c>
      <c r="F289" s="13">
        <v>6.73</v>
      </c>
      <c r="G289" s="478"/>
      <c r="H289" s="480"/>
      <c r="I289" s="3" t="s">
        <v>7</v>
      </c>
    </row>
    <row r="290" spans="1:9">
      <c r="A290" s="511">
        <v>191</v>
      </c>
      <c r="B290" s="495" t="s">
        <v>164</v>
      </c>
      <c r="C290" s="475">
        <v>10729</v>
      </c>
      <c r="D290" s="473">
        <v>11142</v>
      </c>
      <c r="E290" s="4">
        <v>-438</v>
      </c>
      <c r="F290" s="13">
        <v>6.17</v>
      </c>
      <c r="G290" s="477"/>
      <c r="H290" s="85">
        <v>-1.62</v>
      </c>
      <c r="I290" s="3"/>
    </row>
    <row r="291" spans="1:9">
      <c r="A291" s="511"/>
      <c r="B291" s="496"/>
      <c r="C291" s="476"/>
      <c r="D291" s="474"/>
      <c r="E291" s="4">
        <v>25</v>
      </c>
      <c r="F291" s="13">
        <v>6.73</v>
      </c>
      <c r="G291" s="478"/>
      <c r="H291" s="85"/>
      <c r="I291" s="3"/>
    </row>
    <row r="292" spans="1:9" ht="18.75" customHeight="1">
      <c r="A292" s="132">
        <v>192</v>
      </c>
      <c r="B292" s="261" t="s">
        <v>165</v>
      </c>
      <c r="C292" s="40">
        <v>9646</v>
      </c>
      <c r="D292" s="45">
        <f>6794+754+160+280+500+320+167+196+97+230</f>
        <v>9498</v>
      </c>
      <c r="E292" s="4">
        <f>C292-D292</f>
        <v>148</v>
      </c>
      <c r="F292" s="13">
        <v>6.73</v>
      </c>
      <c r="G292" s="8">
        <f>E292*F292+H292</f>
        <v>996.04000000000008</v>
      </c>
      <c r="H292" s="85"/>
      <c r="I292" s="3"/>
    </row>
    <row r="293" spans="1:9" ht="31.5" customHeight="1">
      <c r="A293" s="288">
        <v>193</v>
      </c>
      <c r="B293" s="265" t="s">
        <v>166</v>
      </c>
      <c r="C293" s="6">
        <v>17</v>
      </c>
      <c r="D293" s="6">
        <v>0</v>
      </c>
      <c r="E293" s="4">
        <f>C293-D293</f>
        <v>17</v>
      </c>
      <c r="F293" s="13">
        <v>5.93</v>
      </c>
      <c r="G293" s="8">
        <f>E293*F293+H293</f>
        <v>100.81</v>
      </c>
      <c r="H293" s="85"/>
      <c r="I293" s="3" t="s">
        <v>16</v>
      </c>
    </row>
    <row r="294" spans="1:9" ht="17.25" customHeight="1">
      <c r="A294" s="626">
        <v>194</v>
      </c>
      <c r="B294" s="628" t="s">
        <v>167</v>
      </c>
      <c r="C294" s="630">
        <v>1805</v>
      </c>
      <c r="D294" s="632">
        <v>1771</v>
      </c>
      <c r="E294" s="17">
        <v>27</v>
      </c>
      <c r="F294" s="71">
        <v>5.93</v>
      </c>
      <c r="G294" s="477">
        <v>207.46</v>
      </c>
      <c r="H294" s="85"/>
      <c r="I294" s="3"/>
    </row>
    <row r="295" spans="1:9" ht="21" customHeight="1">
      <c r="A295" s="627"/>
      <c r="B295" s="629"/>
      <c r="C295" s="631"/>
      <c r="D295" s="633"/>
      <c r="E295" s="17">
        <v>7</v>
      </c>
      <c r="F295" s="71">
        <v>6.73</v>
      </c>
      <c r="G295" s="478"/>
      <c r="H295" s="103"/>
      <c r="I295" s="3"/>
    </row>
    <row r="296" spans="1:9" ht="32.25" customHeight="1">
      <c r="A296" s="511">
        <v>195</v>
      </c>
      <c r="B296" s="495" t="s">
        <v>168</v>
      </c>
      <c r="C296" s="475">
        <v>19516</v>
      </c>
      <c r="D296" s="586">
        <f>14939+505+347+152+81+324+648+111+46+155+452+148+742+520+594</f>
        <v>19764</v>
      </c>
      <c r="E296" s="4">
        <v>-159</v>
      </c>
      <c r="F296" s="13">
        <v>5.93</v>
      </c>
      <c r="G296" s="477"/>
      <c r="H296" s="85">
        <f>-7.76-5.55-1.69-3.96-6.34-0.4-2.38</f>
        <v>-28.079999999999995</v>
      </c>
      <c r="I296" s="3"/>
    </row>
    <row r="297" spans="1:9">
      <c r="A297" s="511"/>
      <c r="B297" s="496"/>
      <c r="C297" s="476"/>
      <c r="D297" s="587"/>
      <c r="E297" s="4">
        <f>-46+24+434-452+273-148+301+250-742+302+277-520+39-594+506</f>
        <v>-96</v>
      </c>
      <c r="F297" s="13">
        <v>6.73</v>
      </c>
      <c r="G297" s="478"/>
      <c r="H297" s="85"/>
      <c r="I297" s="3"/>
    </row>
    <row r="298" spans="1:9" ht="17.25" customHeight="1">
      <c r="A298" s="132">
        <v>196</v>
      </c>
      <c r="B298" s="261" t="s">
        <v>169</v>
      </c>
      <c r="C298" s="59">
        <v>3356</v>
      </c>
      <c r="D298" s="58">
        <f>2299+1+168+16+62+102+48+148+351+237</f>
        <v>3432</v>
      </c>
      <c r="E298" s="4">
        <f>C298-D298</f>
        <v>-76</v>
      </c>
      <c r="F298" s="13">
        <v>6.73</v>
      </c>
      <c r="G298" s="8"/>
      <c r="H298" s="85">
        <f>-15.95-4.08-3.96-2.95-2.99</f>
        <v>-29.93</v>
      </c>
      <c r="I298" s="3"/>
    </row>
    <row r="299" spans="1:9" ht="18" customHeight="1">
      <c r="A299" s="132">
        <v>197</v>
      </c>
      <c r="B299" s="261" t="s">
        <v>170</v>
      </c>
      <c r="C299" s="194">
        <v>5964</v>
      </c>
      <c r="D299" s="193">
        <f>4456+80+278+400+20+90+138+123+58+297</f>
        <v>5940</v>
      </c>
      <c r="E299" s="4">
        <f>C299-D299</f>
        <v>24</v>
      </c>
      <c r="F299" s="13">
        <v>6.73</v>
      </c>
      <c r="G299" s="8">
        <f>E299*F299+H299</f>
        <v>161.52000000000001</v>
      </c>
      <c r="H299" s="85"/>
      <c r="I299" s="3"/>
    </row>
    <row r="300" spans="1:9">
      <c r="A300" s="511">
        <v>198</v>
      </c>
      <c r="B300" s="495" t="s">
        <v>326</v>
      </c>
      <c r="C300" s="475">
        <v>18214</v>
      </c>
      <c r="D300" s="473">
        <f>12458+168+337+324+12+421+486+810+81+445+445+534+445+445+297</f>
        <v>17708</v>
      </c>
      <c r="E300" s="4">
        <v>-55</v>
      </c>
      <c r="F300" s="13">
        <v>6.17</v>
      </c>
      <c r="G300" s="477">
        <f>E300*F300+E301*F301+H300</f>
        <v>3388.1200000000003</v>
      </c>
      <c r="H300" s="85">
        <f>-16.18-1.38-2.3-0.23-5.15-5.15-6.18-5.15-5.15-1.19</f>
        <v>-48.059999999999995</v>
      </c>
      <c r="I300" s="472" t="s">
        <v>7</v>
      </c>
    </row>
    <row r="301" spans="1:9">
      <c r="A301" s="511"/>
      <c r="B301" s="496"/>
      <c r="C301" s="476"/>
      <c r="D301" s="474"/>
      <c r="E301" s="4">
        <f>383-445+560-445+524-534+453-445+380-445+307-297+33+532</f>
        <v>561</v>
      </c>
      <c r="F301" s="13">
        <v>6.73</v>
      </c>
      <c r="G301" s="478"/>
      <c r="H301" s="85"/>
      <c r="I301" s="472"/>
    </row>
    <row r="302" spans="1:9" ht="20.25" customHeight="1">
      <c r="A302" s="132">
        <v>199</v>
      </c>
      <c r="B302" s="263" t="s">
        <v>171</v>
      </c>
      <c r="C302" s="4">
        <v>17354</v>
      </c>
      <c r="D302" s="5">
        <f>15386+77+198+104+82+66+434+295+243+76+147</f>
        <v>17108</v>
      </c>
      <c r="E302" s="4">
        <f>C302-D302</f>
        <v>246</v>
      </c>
      <c r="F302" s="13">
        <v>6.73</v>
      </c>
      <c r="G302" s="8">
        <f>E302*F302+H302</f>
        <v>1642.1200000000001</v>
      </c>
      <c r="H302" s="85">
        <f>-6.76-6.7</f>
        <v>-13.46</v>
      </c>
      <c r="I302" s="3"/>
    </row>
    <row r="303" spans="1:9" ht="22.5" customHeight="1">
      <c r="A303" s="291">
        <v>200</v>
      </c>
      <c r="B303" s="269" t="s">
        <v>171</v>
      </c>
      <c r="C303" s="621" t="s">
        <v>296</v>
      </c>
      <c r="D303" s="622"/>
      <c r="E303" s="622"/>
      <c r="F303" s="622"/>
      <c r="G303" s="623"/>
      <c r="H303" s="94"/>
      <c r="I303" s="3"/>
    </row>
    <row r="304" spans="1:9">
      <c r="A304" s="132">
        <v>201</v>
      </c>
      <c r="B304" s="261" t="s">
        <v>321</v>
      </c>
      <c r="C304" s="159">
        <v>17681</v>
      </c>
      <c r="D304" s="157">
        <f>14729+462+235+104+178+203+204+179+171+441+390+83+119+53</f>
        <v>17551</v>
      </c>
      <c r="E304" s="4">
        <f>C304-D304</f>
        <v>130</v>
      </c>
      <c r="F304" s="13">
        <v>6.73</v>
      </c>
      <c r="G304" s="156">
        <f>E304*F304+H304</f>
        <v>874.90000000000009</v>
      </c>
      <c r="H304" s="85"/>
      <c r="I304" s="35"/>
    </row>
    <row r="305" spans="1:9">
      <c r="A305" s="511">
        <v>202</v>
      </c>
      <c r="B305" s="495" t="s">
        <v>172</v>
      </c>
      <c r="C305" s="475">
        <v>11349</v>
      </c>
      <c r="D305" s="473">
        <f>7795+1000+500+500+500+500+500</f>
        <v>11295</v>
      </c>
      <c r="E305" s="4">
        <v>-19</v>
      </c>
      <c r="F305" s="13">
        <v>6.17</v>
      </c>
      <c r="G305" s="477">
        <f>E305*F305+E306*F306+H305</f>
        <v>369.17</v>
      </c>
      <c r="H305" s="479">
        <v>-4.8899999999999997</v>
      </c>
      <c r="I305" s="3"/>
    </row>
    <row r="306" spans="1:9">
      <c r="A306" s="511"/>
      <c r="B306" s="496"/>
      <c r="C306" s="476"/>
      <c r="D306" s="474"/>
      <c r="E306" s="4">
        <f>-500+41-500+302+290+329-500+264+270-500+431+205-500+126+315</f>
        <v>73</v>
      </c>
      <c r="F306" s="13">
        <v>6.73</v>
      </c>
      <c r="G306" s="478"/>
      <c r="H306" s="480"/>
      <c r="I306" s="3"/>
    </row>
    <row r="307" spans="1:9" ht="29.25" customHeight="1">
      <c r="A307" s="288">
        <v>203</v>
      </c>
      <c r="B307" s="265" t="s">
        <v>173</v>
      </c>
      <c r="C307" s="6">
        <v>2</v>
      </c>
      <c r="D307" s="6">
        <v>1</v>
      </c>
      <c r="E307" s="4">
        <f>C307-D307</f>
        <v>1</v>
      </c>
      <c r="F307" s="13">
        <v>5.93</v>
      </c>
      <c r="G307" s="8">
        <f>E307*F307+H307</f>
        <v>5.93</v>
      </c>
      <c r="H307" s="85"/>
      <c r="I307" s="3" t="s">
        <v>16</v>
      </c>
    </row>
    <row r="308" spans="1:9" ht="30" customHeight="1">
      <c r="A308" s="132">
        <v>204</v>
      </c>
      <c r="B308" s="261" t="s">
        <v>174</v>
      </c>
      <c r="C308" s="121">
        <v>14854</v>
      </c>
      <c r="D308" s="120">
        <f>11123+1180+389+114+437+431+742+148+193</f>
        <v>14757</v>
      </c>
      <c r="E308" s="250">
        <f>C308-D308</f>
        <v>97</v>
      </c>
      <c r="F308" s="32">
        <v>6.73</v>
      </c>
      <c r="G308" s="8">
        <f>E308*F308+H308</f>
        <v>632.62</v>
      </c>
      <c r="H308" s="119">
        <f>-6.17-3.08-6.34-3.96-0.64</f>
        <v>-20.190000000000001</v>
      </c>
      <c r="I308" s="30"/>
    </row>
    <row r="309" spans="1:9" ht="31.5">
      <c r="A309" s="132">
        <v>205</v>
      </c>
      <c r="B309" s="278" t="s">
        <v>175</v>
      </c>
      <c r="C309" s="616" t="s">
        <v>296</v>
      </c>
      <c r="D309" s="616"/>
      <c r="E309" s="616"/>
      <c r="F309" s="616"/>
      <c r="G309" s="616"/>
      <c r="H309" s="616"/>
      <c r="I309" s="3" t="s">
        <v>341</v>
      </c>
    </row>
    <row r="310" spans="1:9" ht="30.75" customHeight="1">
      <c r="A310" s="289">
        <v>206</v>
      </c>
      <c r="B310" s="263" t="s">
        <v>175</v>
      </c>
      <c r="C310" s="251">
        <v>131</v>
      </c>
      <c r="D310" s="252">
        <v>131</v>
      </c>
      <c r="E310" s="251">
        <f>C310-D310</f>
        <v>0</v>
      </c>
      <c r="F310" s="33">
        <v>6.73</v>
      </c>
      <c r="G310" s="259"/>
      <c r="H310" s="253"/>
      <c r="I310" s="3"/>
    </row>
    <row r="311" spans="1:9">
      <c r="A311" s="511">
        <v>207</v>
      </c>
      <c r="B311" s="495" t="s">
        <v>176</v>
      </c>
      <c r="C311" s="475">
        <v>11052</v>
      </c>
      <c r="D311" s="473">
        <f>10037+463+203+211</f>
        <v>10914</v>
      </c>
      <c r="E311" s="4">
        <v>-30</v>
      </c>
      <c r="F311" s="13">
        <v>6.17</v>
      </c>
      <c r="G311" s="477">
        <f>E311*F311+E312*F312+H311</f>
        <v>942.2</v>
      </c>
      <c r="H311" s="479">
        <f>-1.9-1.44</f>
        <v>-3.34</v>
      </c>
      <c r="I311" s="3"/>
    </row>
    <row r="312" spans="1:9">
      <c r="A312" s="511"/>
      <c r="B312" s="496"/>
      <c r="C312" s="476"/>
      <c r="D312" s="474"/>
      <c r="E312" s="4">
        <f>45+125+50+29-211+5+12+30+17+15+51</f>
        <v>168</v>
      </c>
      <c r="F312" s="13">
        <v>6.73</v>
      </c>
      <c r="G312" s="478"/>
      <c r="H312" s="480"/>
      <c r="I312" s="3"/>
    </row>
    <row r="313" spans="1:9" ht="15.75" customHeight="1">
      <c r="A313" s="390">
        <v>208</v>
      </c>
      <c r="B313" s="389" t="s">
        <v>177</v>
      </c>
      <c r="C313" s="388">
        <v>4396</v>
      </c>
      <c r="D313" s="391">
        <f>1362+645+676+238+970+445</f>
        <v>4336</v>
      </c>
      <c r="E313" s="4">
        <f>C313-D313</f>
        <v>60</v>
      </c>
      <c r="F313" s="13">
        <v>6.73</v>
      </c>
      <c r="G313" s="8">
        <f t="shared" ref="G313" si="12">E313*F313+H313</f>
        <v>390.98</v>
      </c>
      <c r="H313" s="85">
        <f>-4.23-3.44-5.15</f>
        <v>-12.82</v>
      </c>
      <c r="I313" s="383"/>
    </row>
    <row r="314" spans="1:9" ht="28.5" customHeight="1">
      <c r="A314" s="132">
        <v>209</v>
      </c>
      <c r="B314" s="278" t="s">
        <v>178</v>
      </c>
      <c r="C314" s="67"/>
      <c r="D314" s="65"/>
      <c r="E314" s="4"/>
      <c r="F314" s="13"/>
      <c r="G314" s="8"/>
      <c r="H314" s="85"/>
      <c r="I314" s="3"/>
    </row>
    <row r="315" spans="1:9">
      <c r="A315" s="132">
        <v>210</v>
      </c>
      <c r="B315" s="281" t="s">
        <v>179</v>
      </c>
      <c r="C315" s="131">
        <v>3854</v>
      </c>
      <c r="D315" s="130">
        <f>3119+86+106+40+37+157+80+114+36</f>
        <v>3775</v>
      </c>
      <c r="E315" s="129">
        <f>C315-D315</f>
        <v>79</v>
      </c>
      <c r="F315" s="37">
        <v>6.73</v>
      </c>
      <c r="G315" s="8">
        <f>E315*F315+H315</f>
        <v>524.94000000000005</v>
      </c>
      <c r="H315" s="85">
        <f>-4.19-2.54</f>
        <v>-6.73</v>
      </c>
      <c r="I315" s="3"/>
    </row>
    <row r="316" spans="1:9">
      <c r="A316" s="132" t="s">
        <v>180</v>
      </c>
      <c r="B316" s="282" t="s">
        <v>181</v>
      </c>
      <c r="C316" s="42">
        <v>866</v>
      </c>
      <c r="D316" s="66">
        <f>50+505+252+27+74</f>
        <v>908</v>
      </c>
      <c r="E316" s="41">
        <f>C316-D316</f>
        <v>-42</v>
      </c>
      <c r="F316" s="33">
        <v>6.73</v>
      </c>
      <c r="G316" s="8"/>
      <c r="H316" s="85">
        <f>-7.45-6.01-1.98</f>
        <v>-15.440000000000001</v>
      </c>
      <c r="I316" s="3"/>
    </row>
    <row r="317" spans="1:9" ht="33" customHeight="1">
      <c r="A317" s="132">
        <v>211</v>
      </c>
      <c r="B317" s="357" t="s">
        <v>352</v>
      </c>
      <c r="C317" s="225">
        <v>541</v>
      </c>
      <c r="D317" s="224">
        <f>109+113+58+1+1+1+1</f>
        <v>284</v>
      </c>
      <c r="E317" s="223">
        <f>C317-D317</f>
        <v>257</v>
      </c>
      <c r="F317" s="33">
        <v>6.73</v>
      </c>
      <c r="G317" s="8">
        <f t="shared" ref="G317" si="13">E317*F317+H317</f>
        <v>1729.6100000000001</v>
      </c>
      <c r="H317" s="85"/>
      <c r="I317" s="3" t="s">
        <v>355</v>
      </c>
    </row>
    <row r="318" spans="1:9">
      <c r="A318" s="511">
        <v>212</v>
      </c>
      <c r="B318" s="495" t="s">
        <v>179</v>
      </c>
      <c r="C318" s="475">
        <v>13444</v>
      </c>
      <c r="D318" s="473">
        <f>10298+338+200+71+567+206+148+479+247+292+367+29</f>
        <v>13242</v>
      </c>
      <c r="E318" s="4">
        <v>-6</v>
      </c>
      <c r="F318" s="13">
        <v>6.17</v>
      </c>
      <c r="G318" s="477">
        <f>E318*F318+E319*F319+H318</f>
        <v>1347.8100000000002</v>
      </c>
      <c r="H318" s="479">
        <f>-6.5-3.59-0.09-4.83</f>
        <v>-15.01</v>
      </c>
      <c r="I318" s="3"/>
    </row>
    <row r="319" spans="1:9">
      <c r="A319" s="511"/>
      <c r="B319" s="496"/>
      <c r="C319" s="476"/>
      <c r="D319" s="474"/>
      <c r="E319" s="4">
        <f>32-206+258+68+19-148+35+293+135-479+129+118-247+93+199-292+80+72+195+20-367+22-29+24+184</f>
        <v>208</v>
      </c>
      <c r="F319" s="13">
        <v>6.73</v>
      </c>
      <c r="G319" s="478"/>
      <c r="H319" s="480"/>
      <c r="I319" s="3"/>
    </row>
    <row r="320" spans="1:9" ht="30" customHeight="1">
      <c r="A320" s="132">
        <v>213</v>
      </c>
      <c r="B320" s="263" t="s">
        <v>182</v>
      </c>
      <c r="C320" s="4">
        <v>3562</v>
      </c>
      <c r="D320" s="5">
        <f>2207+353+118+81+101+101+16+66+66+66+148+50</f>
        <v>3373</v>
      </c>
      <c r="E320" s="4">
        <f>C320-D320</f>
        <v>189</v>
      </c>
      <c r="F320" s="13">
        <v>6.73</v>
      </c>
      <c r="G320" s="137">
        <f>E320*F320+H320</f>
        <v>1231.32</v>
      </c>
      <c r="H320" s="85">
        <f>-33.19-3.96-3.5</f>
        <v>-40.65</v>
      </c>
      <c r="I320" s="3"/>
    </row>
    <row r="321" spans="1:9" ht="33" customHeight="1">
      <c r="A321" s="288">
        <v>214</v>
      </c>
      <c r="B321" s="265" t="s">
        <v>183</v>
      </c>
      <c r="C321" s="6">
        <v>998</v>
      </c>
      <c r="D321" s="6">
        <v>1002</v>
      </c>
      <c r="E321" s="4">
        <f>C321-D321</f>
        <v>-4</v>
      </c>
      <c r="F321" s="13">
        <v>5.93</v>
      </c>
      <c r="G321" s="460"/>
      <c r="H321" s="85"/>
      <c r="I321" s="3"/>
    </row>
    <row r="322" spans="1:9" ht="32.25" customHeight="1">
      <c r="A322" s="132">
        <v>215</v>
      </c>
      <c r="B322" s="272" t="s">
        <v>184</v>
      </c>
      <c r="C322" s="100">
        <v>41768</v>
      </c>
      <c r="D322" s="99">
        <f>27947+505+590+590+843+555+82+356+486+810+329+292+1188+445+445+742+371+668+297+1188+297+594+297+445+817</f>
        <v>41179</v>
      </c>
      <c r="E322" s="4">
        <f>C322-D322</f>
        <v>589</v>
      </c>
      <c r="F322" s="13">
        <v>6.73</v>
      </c>
      <c r="G322" s="98">
        <f>E322*F322+H322</f>
        <v>3891.63</v>
      </c>
      <c r="H322" s="86">
        <f>-47.36-3.17-4.36-1.19-4.76-1.19-2.18-1.19-5.15-0.2-1.59</f>
        <v>-72.34</v>
      </c>
      <c r="I322" s="3" t="s">
        <v>7</v>
      </c>
    </row>
    <row r="323" spans="1:9" ht="37.5" customHeight="1">
      <c r="A323" s="132">
        <v>216</v>
      </c>
      <c r="B323" s="261" t="s">
        <v>185</v>
      </c>
      <c r="C323" s="236">
        <v>14202</v>
      </c>
      <c r="D323" s="234">
        <f>12095+206+288+486+33+415+297+445</f>
        <v>14265</v>
      </c>
      <c r="E323" s="4">
        <f>C323-D323</f>
        <v>-63</v>
      </c>
      <c r="F323" s="13">
        <v>6.73</v>
      </c>
      <c r="G323" s="375"/>
      <c r="H323" s="85">
        <f>-1.46-1.38-3.44-1.19-5.15</f>
        <v>-12.62</v>
      </c>
      <c r="I323" s="3"/>
    </row>
    <row r="324" spans="1:9">
      <c r="A324" s="511">
        <v>217</v>
      </c>
      <c r="B324" s="495" t="s">
        <v>186</v>
      </c>
      <c r="C324" s="559">
        <v>27649</v>
      </c>
      <c r="D324" s="473">
        <f>19378+1686+1620+1620+1485+1485</f>
        <v>27274</v>
      </c>
      <c r="E324" s="4">
        <v>-1941</v>
      </c>
      <c r="F324" s="13">
        <v>6.17</v>
      </c>
      <c r="G324" s="477">
        <f>E324*F324+E325*F325+H324</f>
        <v>3583.940000000001</v>
      </c>
      <c r="H324" s="85">
        <f>-5.67-4.6-4.6-5.95-5.95</f>
        <v>-26.77</v>
      </c>
      <c r="I324" s="472" t="s">
        <v>7</v>
      </c>
    </row>
    <row r="325" spans="1:9">
      <c r="A325" s="511"/>
      <c r="B325" s="496"/>
      <c r="C325" s="561"/>
      <c r="D325" s="474"/>
      <c r="E325" s="4">
        <f>277+364+264+263+268+300+278+313-1485+294+225+296+213+275-1485+309+311+336+382+318</f>
        <v>2316</v>
      </c>
      <c r="F325" s="13">
        <v>6.73</v>
      </c>
      <c r="G325" s="478"/>
      <c r="H325" s="85"/>
      <c r="I325" s="472"/>
    </row>
    <row r="326" spans="1:9" ht="27" customHeight="1">
      <c r="A326" s="132">
        <v>218</v>
      </c>
      <c r="B326" s="261" t="s">
        <v>187</v>
      </c>
      <c r="C326" s="198">
        <v>21644</v>
      </c>
      <c r="D326" s="196">
        <f>16655+826+526+288+545+625+615</f>
        <v>20080</v>
      </c>
      <c r="E326" s="4">
        <f>C326-D326</f>
        <v>1564</v>
      </c>
      <c r="F326" s="13">
        <v>6.73</v>
      </c>
      <c r="G326" s="197">
        <f>E326*F326+H326</f>
        <v>10514.750000000002</v>
      </c>
      <c r="H326" s="85">
        <f>-0.51-5.66-4.8</f>
        <v>-10.969999999999999</v>
      </c>
      <c r="I326" s="3" t="s">
        <v>7</v>
      </c>
    </row>
    <row r="327" spans="1:9">
      <c r="A327" s="500">
        <v>219</v>
      </c>
      <c r="B327" s="588" t="s">
        <v>188</v>
      </c>
      <c r="C327" s="481">
        <v>10057</v>
      </c>
      <c r="D327" s="473">
        <f>7878+599+450+500+275+252</f>
        <v>9954</v>
      </c>
      <c r="E327" s="4">
        <v>-354</v>
      </c>
      <c r="F327" s="13">
        <v>5.93</v>
      </c>
      <c r="G327" s="477">
        <f>E327*F327+E328*F328+H327</f>
        <v>1171.0200000000004</v>
      </c>
      <c r="H327" s="85">
        <f>-5.67-1.6</f>
        <v>-7.27</v>
      </c>
      <c r="I327" s="27"/>
    </row>
    <row r="328" spans="1:9">
      <c r="A328" s="500"/>
      <c r="B328" s="589"/>
      <c r="C328" s="482"/>
      <c r="D328" s="474"/>
      <c r="E328" s="4">
        <f>137-450+59+50+208-500+293+283+243+217+48-275+57+195-252+29+14+131</f>
        <v>487</v>
      </c>
      <c r="F328" s="13">
        <v>6.73</v>
      </c>
      <c r="G328" s="478"/>
      <c r="H328" s="85"/>
      <c r="I328" s="25"/>
    </row>
    <row r="329" spans="1:9" ht="31.5">
      <c r="A329" s="132">
        <v>220</v>
      </c>
      <c r="B329" s="261" t="s">
        <v>319</v>
      </c>
      <c r="C329" s="209">
        <v>20600</v>
      </c>
      <c r="D329" s="211">
        <f>17673+566+481+500+912</f>
        <v>20132</v>
      </c>
      <c r="E329" s="4">
        <f>C329-D329</f>
        <v>468</v>
      </c>
      <c r="F329" s="13">
        <v>6.73</v>
      </c>
      <c r="G329" s="210">
        <f>E329*F329+H329</f>
        <v>3142.9100000000003</v>
      </c>
      <c r="H329" s="85">
        <f>-1.14-5.59</f>
        <v>-6.7299999999999995</v>
      </c>
      <c r="I329" s="3" t="s">
        <v>7</v>
      </c>
    </row>
    <row r="330" spans="1:9">
      <c r="A330" s="511">
        <v>221</v>
      </c>
      <c r="B330" s="495" t="s">
        <v>189</v>
      </c>
      <c r="C330" s="475">
        <v>6030</v>
      </c>
      <c r="D330" s="473">
        <v>6858</v>
      </c>
      <c r="E330" s="4">
        <v>-938</v>
      </c>
      <c r="F330" s="13">
        <v>6.17</v>
      </c>
      <c r="G330" s="477"/>
      <c r="H330" s="85">
        <v>-4.57</v>
      </c>
      <c r="I330" s="3"/>
    </row>
    <row r="331" spans="1:9">
      <c r="A331" s="511"/>
      <c r="B331" s="496"/>
      <c r="C331" s="476"/>
      <c r="D331" s="474"/>
      <c r="E331" s="4">
        <f>14+19+17+17+12+15+3+13</f>
        <v>110</v>
      </c>
      <c r="F331" s="13">
        <v>6.73</v>
      </c>
      <c r="G331" s="478"/>
      <c r="H331" s="85"/>
      <c r="I331" s="3"/>
    </row>
    <row r="332" spans="1:9" ht="31.5">
      <c r="A332" s="511">
        <v>222</v>
      </c>
      <c r="B332" s="495" t="s">
        <v>190</v>
      </c>
      <c r="C332" s="481">
        <v>24012</v>
      </c>
      <c r="D332" s="473">
        <f>17641+144+740+810+334+465+453+228+319+273+269+808</f>
        <v>22484</v>
      </c>
      <c r="E332" s="4">
        <v>-47</v>
      </c>
      <c r="F332" s="13">
        <v>6.17</v>
      </c>
      <c r="G332" s="477">
        <f>E332*F332+E333*F333+H332</f>
        <v>10290.17</v>
      </c>
      <c r="H332" s="85">
        <f>-6.17-2.18-4.55-6.69</f>
        <v>-19.59</v>
      </c>
      <c r="I332" s="3" t="s">
        <v>7</v>
      </c>
    </row>
    <row r="333" spans="1:9">
      <c r="A333" s="511"/>
      <c r="B333" s="496"/>
      <c r="C333" s="482"/>
      <c r="D333" s="474"/>
      <c r="E333" s="4">
        <f>377-334+389+78-465+119+234-453+101+228-228+319-319+273-273+269-269+808+115-808+228+323+40+413+16+394</f>
        <v>1575</v>
      </c>
      <c r="F333" s="13">
        <v>6.73</v>
      </c>
      <c r="G333" s="478"/>
      <c r="H333" s="85"/>
      <c r="I333" s="3"/>
    </row>
    <row r="334" spans="1:9" ht="27" customHeight="1">
      <c r="A334" s="132">
        <v>223</v>
      </c>
      <c r="B334" s="266" t="s">
        <v>75</v>
      </c>
      <c r="C334" s="14"/>
      <c r="D334" s="15"/>
      <c r="E334" s="4"/>
      <c r="F334" s="13"/>
      <c r="G334" s="8"/>
      <c r="H334" s="85"/>
      <c r="I334" s="3"/>
    </row>
    <row r="335" spans="1:9" ht="31.5">
      <c r="A335" s="132">
        <v>224</v>
      </c>
      <c r="B335" s="261" t="s">
        <v>191</v>
      </c>
      <c r="C335" s="158">
        <v>28226</v>
      </c>
      <c r="D335" s="157">
        <f>18893+1517+13+473+421+777+3+673+1322+579+297+237+541+876+588</f>
        <v>27210</v>
      </c>
      <c r="E335" s="4">
        <f t="shared" ref="E335" si="14">C335-D335</f>
        <v>1016</v>
      </c>
      <c r="F335" s="13">
        <v>6.73</v>
      </c>
      <c r="G335" s="156">
        <f>E335*F335+H335</f>
        <v>6789.25</v>
      </c>
      <c r="H335" s="85">
        <f>-41.15-4.52-2.76</f>
        <v>-48.43</v>
      </c>
      <c r="I335" s="3" t="s">
        <v>7</v>
      </c>
    </row>
    <row r="336" spans="1:9" ht="28.5" customHeight="1">
      <c r="A336" s="132">
        <v>225</v>
      </c>
      <c r="B336" s="266" t="s">
        <v>192</v>
      </c>
      <c r="C336" s="4"/>
      <c r="D336" s="5"/>
      <c r="E336" s="4"/>
      <c r="F336" s="13"/>
      <c r="G336" s="156"/>
      <c r="H336" s="85"/>
      <c r="I336" s="3"/>
    </row>
    <row r="337" spans="1:9" ht="27.75" customHeight="1">
      <c r="A337" s="132">
        <v>226</v>
      </c>
      <c r="B337" s="261" t="s">
        <v>193</v>
      </c>
      <c r="C337" s="91">
        <v>52099</v>
      </c>
      <c r="D337" s="93">
        <f>28851+4549+2529+1011+367+834+868+2+1386+1224+1269+1217+717+820+2029+2789</f>
        <v>50462</v>
      </c>
      <c r="E337" s="4">
        <f>C337-D337</f>
        <v>1637</v>
      </c>
      <c r="F337" s="13">
        <v>6.73</v>
      </c>
      <c r="G337" s="89">
        <f>E337*F337+H337</f>
        <v>11003.550000000001</v>
      </c>
      <c r="H337" s="85">
        <f>-12.34-1.12</f>
        <v>-13.46</v>
      </c>
      <c r="I337" s="3" t="s">
        <v>7</v>
      </c>
    </row>
    <row r="338" spans="1:9">
      <c r="A338" s="511">
        <v>227</v>
      </c>
      <c r="B338" s="495" t="s">
        <v>194</v>
      </c>
      <c r="C338" s="475">
        <v>2680</v>
      </c>
      <c r="D338" s="591">
        <v>2977</v>
      </c>
      <c r="E338" s="4">
        <v>-297</v>
      </c>
      <c r="F338" s="13">
        <v>6.17</v>
      </c>
      <c r="G338" s="477"/>
      <c r="H338" s="85">
        <v>-5.81</v>
      </c>
      <c r="I338" s="3"/>
    </row>
    <row r="339" spans="1:9">
      <c r="A339" s="511"/>
      <c r="B339" s="496"/>
      <c r="C339" s="476"/>
      <c r="D339" s="592"/>
      <c r="E339" s="4"/>
      <c r="F339" s="13">
        <v>6.73</v>
      </c>
      <c r="G339" s="478"/>
      <c r="H339" s="85"/>
      <c r="I339" s="3"/>
    </row>
    <row r="340" spans="1:9">
      <c r="A340" s="511">
        <v>228</v>
      </c>
      <c r="B340" s="495" t="s">
        <v>194</v>
      </c>
      <c r="C340" s="475">
        <v>21409</v>
      </c>
      <c r="D340" s="593">
        <f>19540+1134+1029</f>
        <v>21703</v>
      </c>
      <c r="E340" s="4">
        <v>-430</v>
      </c>
      <c r="F340" s="13">
        <v>6.17</v>
      </c>
      <c r="G340" s="477"/>
      <c r="H340" s="85">
        <f>-4.92-3.22-4.83</f>
        <v>-12.97</v>
      </c>
      <c r="I340" s="3"/>
    </row>
    <row r="341" spans="1:9">
      <c r="A341" s="511"/>
      <c r="B341" s="496"/>
      <c r="C341" s="476"/>
      <c r="D341" s="594"/>
      <c r="E341" s="4">
        <f>77+12+158+141+172+158+147-1029+135+24+141</f>
        <v>136</v>
      </c>
      <c r="F341" s="13">
        <v>6.73</v>
      </c>
      <c r="G341" s="478"/>
      <c r="H341" s="85"/>
      <c r="I341" s="3"/>
    </row>
    <row r="342" spans="1:9">
      <c r="A342" s="289">
        <v>229</v>
      </c>
      <c r="B342" s="267" t="s">
        <v>315</v>
      </c>
      <c r="C342" s="92">
        <v>22046</v>
      </c>
      <c r="D342" s="90">
        <f>16310+448+170+362+366+530+288+102+4+75+172+10+5+62+475+282+617+540+287+188+115+42+183+34+37+65</f>
        <v>21769</v>
      </c>
      <c r="E342" s="4">
        <f>C342-D342</f>
        <v>277</v>
      </c>
      <c r="F342" s="13">
        <v>6.73</v>
      </c>
      <c r="G342" s="89">
        <f>E342*F342+H342</f>
        <v>1810.3700000000001</v>
      </c>
      <c r="H342" s="85">
        <f>-6.36-0.78-5.9-6.04-5.66-2.57-6.44-0.7-5.93-0.74-0.25-6.14-6.33</f>
        <v>-53.84</v>
      </c>
      <c r="I342" s="3"/>
    </row>
    <row r="343" spans="1:9">
      <c r="A343" s="511">
        <v>230</v>
      </c>
      <c r="B343" s="495" t="s">
        <v>195</v>
      </c>
      <c r="C343" s="475">
        <v>20544</v>
      </c>
      <c r="D343" s="473">
        <f>17253+1000+1000+1000+1000</f>
        <v>21253</v>
      </c>
      <c r="E343" s="4">
        <v>-804</v>
      </c>
      <c r="F343" s="13">
        <v>6.17</v>
      </c>
      <c r="G343" s="477"/>
      <c r="H343" s="85">
        <f>-6.62</f>
        <v>-6.62</v>
      </c>
      <c r="I343" s="3"/>
    </row>
    <row r="344" spans="1:9">
      <c r="A344" s="511"/>
      <c r="B344" s="496"/>
      <c r="C344" s="476"/>
      <c r="D344" s="474"/>
      <c r="E344" s="4">
        <f>134+141+110+81+158+259-1000+289+257+212+223-1000+235+77+105+297-1000+146+94+155+122</f>
        <v>95</v>
      </c>
      <c r="F344" s="13">
        <v>6.73</v>
      </c>
      <c r="G344" s="478"/>
      <c r="H344" s="85"/>
      <c r="I344" s="3"/>
    </row>
    <row r="345" spans="1:9" ht="47.25">
      <c r="A345" s="335">
        <v>231</v>
      </c>
      <c r="B345" s="347" t="s">
        <v>345</v>
      </c>
      <c r="C345" s="341">
        <f>1684+462+406+236</f>
        <v>2788</v>
      </c>
      <c r="D345" s="340">
        <f>90+170+142+162+8+423+198+86+260</f>
        <v>1539</v>
      </c>
      <c r="E345" s="4">
        <f>C345-D345</f>
        <v>1249</v>
      </c>
      <c r="F345" s="32">
        <v>6.73</v>
      </c>
      <c r="G345" s="68">
        <f>E345*F345+H345</f>
        <v>8399.0400000000009</v>
      </c>
      <c r="H345" s="85">
        <f>-0.46-3.85-2.42</f>
        <v>-6.73</v>
      </c>
      <c r="I345" s="471" t="s">
        <v>362</v>
      </c>
    </row>
    <row r="346" spans="1:9" ht="29.25" customHeight="1">
      <c r="A346" s="132">
        <v>232</v>
      </c>
      <c r="B346" s="261" t="s">
        <v>196</v>
      </c>
      <c r="C346" s="56">
        <v>475</v>
      </c>
      <c r="D346" s="55">
        <v>429</v>
      </c>
      <c r="E346" s="4">
        <f>C346-D346</f>
        <v>46</v>
      </c>
      <c r="F346" s="32">
        <v>6.73</v>
      </c>
      <c r="G346" s="68">
        <f>E346*F346+H346</f>
        <v>309.58000000000004</v>
      </c>
      <c r="H346" s="85"/>
      <c r="I346" s="36" t="s">
        <v>344</v>
      </c>
    </row>
    <row r="347" spans="1:9">
      <c r="A347" s="511">
        <v>233</v>
      </c>
      <c r="B347" s="495" t="s">
        <v>303</v>
      </c>
      <c r="C347" s="475">
        <v>22073</v>
      </c>
      <c r="D347" s="473">
        <f>16143+669+280+373+180+999+405+871+745+501+918</f>
        <v>22084</v>
      </c>
      <c r="E347" s="73">
        <v>-65</v>
      </c>
      <c r="F347" s="74">
        <v>6.17</v>
      </c>
      <c r="G347" s="590"/>
      <c r="H347" s="85">
        <f>-5.36-0.81-3.31</f>
        <v>-9.48</v>
      </c>
      <c r="I347" s="472"/>
    </row>
    <row r="348" spans="1:9">
      <c r="A348" s="511"/>
      <c r="B348" s="496"/>
      <c r="C348" s="476"/>
      <c r="D348" s="474"/>
      <c r="E348" s="64">
        <f>3+463-405+871-871+745-745+501-501+179+280-918+2+54+396</f>
        <v>54</v>
      </c>
      <c r="F348" s="72">
        <v>6.73</v>
      </c>
      <c r="G348" s="590"/>
      <c r="H348" s="85"/>
      <c r="I348" s="472"/>
    </row>
    <row r="349" spans="1:9">
      <c r="A349" s="511">
        <v>234</v>
      </c>
      <c r="B349" s="495" t="s">
        <v>197</v>
      </c>
      <c r="C349" s="481">
        <v>15871</v>
      </c>
      <c r="D349" s="473">
        <f>13614+674+16+114+486+445+55+100+69</f>
        <v>15573</v>
      </c>
      <c r="E349" s="49">
        <v>-119</v>
      </c>
      <c r="F349" s="74">
        <v>6.17</v>
      </c>
      <c r="G349" s="590">
        <f>E349*F349+E350*F350+H349</f>
        <v>2072.84</v>
      </c>
      <c r="H349" s="85">
        <f>-1.38-5.15-6.27</f>
        <v>-12.8</v>
      </c>
      <c r="I349" s="3"/>
    </row>
    <row r="350" spans="1:9">
      <c r="A350" s="511"/>
      <c r="B350" s="496"/>
      <c r="C350" s="482"/>
      <c r="D350" s="474"/>
      <c r="E350" s="64">
        <f>316-445+99+87+109-55+100-100+69-69+308</f>
        <v>419</v>
      </c>
      <c r="F350" s="72">
        <v>6.73</v>
      </c>
      <c r="G350" s="590"/>
      <c r="H350" s="85"/>
      <c r="I350" s="3"/>
    </row>
    <row r="351" spans="1:9" ht="29.25" customHeight="1">
      <c r="A351" s="289">
        <v>235</v>
      </c>
      <c r="B351" s="267" t="s">
        <v>198</v>
      </c>
      <c r="C351" s="257">
        <v>116</v>
      </c>
      <c r="D351" s="258">
        <v>138</v>
      </c>
      <c r="E351" s="4">
        <f>C351-D351</f>
        <v>-22</v>
      </c>
      <c r="F351" s="13">
        <v>6.73</v>
      </c>
      <c r="G351" s="260"/>
      <c r="H351" s="85">
        <v>-2.27</v>
      </c>
      <c r="I351" s="3" t="s">
        <v>344</v>
      </c>
    </row>
    <row r="352" spans="1:9">
      <c r="A352" s="511">
        <v>236</v>
      </c>
      <c r="B352" s="495" t="s">
        <v>199</v>
      </c>
      <c r="C352" s="475">
        <v>4060</v>
      </c>
      <c r="D352" s="473">
        <f>3378+45+324+297</f>
        <v>4044</v>
      </c>
      <c r="E352" s="4">
        <v>-116</v>
      </c>
      <c r="F352" s="13">
        <v>6.17</v>
      </c>
      <c r="G352" s="590">
        <f>E352*F352+E353*F353+H352</f>
        <v>170.52999999999997</v>
      </c>
      <c r="H352" s="85">
        <f>-0.92-1.19</f>
        <v>-2.11</v>
      </c>
      <c r="I352" s="3"/>
    </row>
    <row r="353" spans="1:9">
      <c r="A353" s="511"/>
      <c r="B353" s="496"/>
      <c r="C353" s="476"/>
      <c r="D353" s="474"/>
      <c r="E353" s="4">
        <f>17+42+69+86-297+56+75+32+5+47</f>
        <v>132</v>
      </c>
      <c r="F353" s="13">
        <v>6.73</v>
      </c>
      <c r="G353" s="590"/>
      <c r="H353" s="85"/>
      <c r="I353" s="3"/>
    </row>
    <row r="354" spans="1:9" ht="27" customHeight="1">
      <c r="A354" s="132">
        <v>237</v>
      </c>
      <c r="B354" s="261" t="s">
        <v>200</v>
      </c>
      <c r="C354" s="128">
        <v>8741</v>
      </c>
      <c r="D354" s="126">
        <f>6916+486+51+696+445+297</f>
        <v>8891</v>
      </c>
      <c r="E354" s="4">
        <f>C354-D354</f>
        <v>-150</v>
      </c>
      <c r="F354" s="13">
        <v>6.73</v>
      </c>
      <c r="G354" s="133"/>
      <c r="H354" s="85">
        <f>-4.57-1.25-5.15-1.19</f>
        <v>-12.16</v>
      </c>
      <c r="I354" s="25"/>
    </row>
    <row r="355" spans="1:9">
      <c r="A355" s="500">
        <v>238</v>
      </c>
      <c r="B355" s="497" t="s">
        <v>312</v>
      </c>
      <c r="C355" s="481">
        <v>16543</v>
      </c>
      <c r="D355" s="485">
        <f>13000+800+272+386+149+234+1032+517</f>
        <v>16390</v>
      </c>
      <c r="E355" s="4">
        <v>-108</v>
      </c>
      <c r="F355" s="13">
        <v>5.93</v>
      </c>
      <c r="G355" s="595">
        <f>E355*F355+E356*F356+E357*F357+H355</f>
        <v>1171.0200000000004</v>
      </c>
      <c r="H355" s="85">
        <v>-12.37</v>
      </c>
      <c r="I355" s="472"/>
    </row>
    <row r="356" spans="1:9">
      <c r="A356" s="500"/>
      <c r="B356" s="597"/>
      <c r="C356" s="521"/>
      <c r="D356" s="596"/>
      <c r="E356" s="4">
        <v>0</v>
      </c>
      <c r="F356" s="13">
        <v>6.17</v>
      </c>
      <c r="G356" s="530"/>
      <c r="H356" s="85"/>
      <c r="I356" s="472"/>
    </row>
    <row r="357" spans="1:9">
      <c r="A357" s="500"/>
      <c r="B357" s="498"/>
      <c r="C357" s="482"/>
      <c r="D357" s="486"/>
      <c r="E357" s="4">
        <f>259+372-234+732-1032+430+41+46-517+4+170</f>
        <v>271</v>
      </c>
      <c r="F357" s="13">
        <v>6.73</v>
      </c>
      <c r="G357" s="502"/>
      <c r="H357" s="85"/>
      <c r="I357" s="25"/>
    </row>
    <row r="358" spans="1:9" ht="30.75" customHeight="1">
      <c r="A358" s="289">
        <v>239</v>
      </c>
      <c r="B358" s="267" t="s">
        <v>201</v>
      </c>
      <c r="C358" s="158">
        <v>9885</v>
      </c>
      <c r="D358" s="160">
        <f>6276+356+583+80+223+401+445+445+624+386</f>
        <v>9819</v>
      </c>
      <c r="E358" s="4">
        <f t="shared" ref="E358:E363" si="15">C358-D358</f>
        <v>66</v>
      </c>
      <c r="F358" s="13">
        <v>6.73</v>
      </c>
      <c r="G358" s="8">
        <f t="shared" ref="G358:G364" si="16">E358*F358+H358</f>
        <v>416.5</v>
      </c>
      <c r="H358" s="85">
        <f>-7.8-5.61-1.27-5.15-5.15-0.48-2.22</f>
        <v>-27.679999999999996</v>
      </c>
      <c r="I358" s="25"/>
    </row>
    <row r="359" spans="1:9">
      <c r="A359" s="132">
        <v>240</v>
      </c>
      <c r="B359" s="261" t="s">
        <v>202</v>
      </c>
      <c r="C359" s="40">
        <v>8038</v>
      </c>
      <c r="D359" s="38">
        <f>6620+25+57+162+93+207+150+139+236</f>
        <v>7689</v>
      </c>
      <c r="E359" s="4">
        <f t="shared" si="15"/>
        <v>349</v>
      </c>
      <c r="F359" s="13">
        <v>6.73</v>
      </c>
      <c r="G359" s="8">
        <f t="shared" si="16"/>
        <v>2342.04</v>
      </c>
      <c r="H359" s="85">
        <f>-0.06-6.11-0.56</f>
        <v>-6.73</v>
      </c>
      <c r="I359" s="25"/>
    </row>
    <row r="360" spans="1:9">
      <c r="A360" s="132">
        <v>241</v>
      </c>
      <c r="B360" s="263" t="s">
        <v>203</v>
      </c>
      <c r="C360" s="4">
        <v>9885</v>
      </c>
      <c r="D360" s="5">
        <f>7543+505+332+5+543+328+460</f>
        <v>9716</v>
      </c>
      <c r="E360" s="4">
        <f t="shared" si="15"/>
        <v>169</v>
      </c>
      <c r="F360" s="13">
        <v>6.73</v>
      </c>
      <c r="G360" s="8">
        <f t="shared" si="16"/>
        <v>1125.6200000000001</v>
      </c>
      <c r="H360" s="85">
        <v>-11.75</v>
      </c>
      <c r="I360" s="25"/>
    </row>
    <row r="361" spans="1:9" ht="33.75" customHeight="1">
      <c r="A361" s="313">
        <v>242</v>
      </c>
      <c r="B361" s="315" t="s">
        <v>204</v>
      </c>
      <c r="C361" s="316">
        <v>31321</v>
      </c>
      <c r="D361" s="314">
        <f>26510+438+171+432+109+903+1188+562</f>
        <v>30313</v>
      </c>
      <c r="E361" s="4">
        <f t="shared" si="15"/>
        <v>1008</v>
      </c>
      <c r="F361" s="13">
        <v>6.73</v>
      </c>
      <c r="G361" s="8">
        <f t="shared" si="16"/>
        <v>6770.38</v>
      </c>
      <c r="H361" s="85">
        <f>-2.66-3.51-0.56-4.76-1.97</f>
        <v>-13.46</v>
      </c>
      <c r="I361" s="317" t="s">
        <v>7</v>
      </c>
    </row>
    <row r="362" spans="1:9" ht="31.5">
      <c r="A362" s="132">
        <v>243</v>
      </c>
      <c r="B362" s="263" t="s">
        <v>364</v>
      </c>
      <c r="C362" s="7">
        <v>8097</v>
      </c>
      <c r="D362" s="5">
        <f>7301+639+119+17+6+2+10</f>
        <v>8094</v>
      </c>
      <c r="E362" s="4">
        <f t="shared" si="15"/>
        <v>3</v>
      </c>
      <c r="F362" s="13">
        <v>6.73</v>
      </c>
      <c r="G362" s="8">
        <f t="shared" si="16"/>
        <v>6.73</v>
      </c>
      <c r="H362" s="85">
        <f>-7.29-6.17</f>
        <v>-13.46</v>
      </c>
      <c r="I362" s="25"/>
    </row>
    <row r="363" spans="1:9">
      <c r="A363" s="132">
        <v>244</v>
      </c>
      <c r="B363" s="261" t="s">
        <v>205</v>
      </c>
      <c r="C363" s="54">
        <v>6700</v>
      </c>
      <c r="D363" s="55">
        <f>6408+41+9+14</f>
        <v>6472</v>
      </c>
      <c r="E363" s="4">
        <f t="shared" si="15"/>
        <v>228</v>
      </c>
      <c r="F363" s="13">
        <v>6.73</v>
      </c>
      <c r="G363" s="8">
        <f t="shared" si="16"/>
        <v>1525.73</v>
      </c>
      <c r="H363" s="85">
        <f>-1.59-1.34-5.78</f>
        <v>-8.7100000000000009</v>
      </c>
      <c r="I363" s="25"/>
    </row>
    <row r="364" spans="1:9" ht="28.5" customHeight="1">
      <c r="A364" s="384">
        <v>245</v>
      </c>
      <c r="B364" s="387" t="s">
        <v>206</v>
      </c>
      <c r="C364" s="386">
        <v>11482</v>
      </c>
      <c r="D364" s="385">
        <f>3720+959+102+786+959+733+787+1322+869+77+847</f>
        <v>11161</v>
      </c>
      <c r="E364" s="4">
        <f t="shared" ref="E364" si="17">C364-D364</f>
        <v>321</v>
      </c>
      <c r="F364" s="13">
        <v>6.73</v>
      </c>
      <c r="G364" s="8">
        <f t="shared" si="16"/>
        <v>2153.6</v>
      </c>
      <c r="H364" s="85">
        <f>-4.23-1.94-0.56</f>
        <v>-6.73</v>
      </c>
      <c r="I364" s="25"/>
    </row>
    <row r="365" spans="1:9" ht="30.75" customHeight="1">
      <c r="A365" s="132">
        <v>246</v>
      </c>
      <c r="B365" s="263" t="s">
        <v>207</v>
      </c>
      <c r="C365" s="22">
        <v>16062</v>
      </c>
      <c r="D365" s="5">
        <f>13296+168+319+17+243+259+324+32+170+430+468+371</f>
        <v>16097</v>
      </c>
      <c r="E365" s="4">
        <f>C365-D365</f>
        <v>-35</v>
      </c>
      <c r="F365" s="13">
        <v>6.73</v>
      </c>
      <c r="G365" s="8"/>
      <c r="H365" s="87">
        <f>-20.66-5.9-6.1-0.36-3.17</f>
        <v>-36.190000000000005</v>
      </c>
      <c r="I365" s="25"/>
    </row>
    <row r="366" spans="1:9" ht="31.5">
      <c r="A366" s="132">
        <v>247</v>
      </c>
      <c r="B366" s="263" t="s">
        <v>299</v>
      </c>
      <c r="C366" s="4">
        <v>12560</v>
      </c>
      <c r="D366" s="5">
        <f>7533+522+337+293+42+324+486+108+156+653+371+356+520+74+54+59</f>
        <v>11888</v>
      </c>
      <c r="E366" s="4">
        <f>C366-D366</f>
        <v>672</v>
      </c>
      <c r="F366" s="13">
        <v>6.73</v>
      </c>
      <c r="G366" s="8">
        <f>E366*F366+H366</f>
        <v>4474.93</v>
      </c>
      <c r="H366" s="85">
        <f>-23.02-0.21-5.31+0.09-3.17-4.12-0.4-1.98-6.58-2.93</f>
        <v>-47.629999999999988</v>
      </c>
      <c r="I366" s="3" t="s">
        <v>7</v>
      </c>
    </row>
    <row r="367" spans="1:9">
      <c r="A367" s="511">
        <v>248</v>
      </c>
      <c r="B367" s="495" t="s">
        <v>208</v>
      </c>
      <c r="C367" s="475">
        <v>5772</v>
      </c>
      <c r="D367" s="473">
        <f>3528+387+107+168+324+297+222+222+594</f>
        <v>5849</v>
      </c>
      <c r="E367" s="4">
        <v>-103</v>
      </c>
      <c r="F367" s="13">
        <v>6.17</v>
      </c>
      <c r="G367" s="477"/>
      <c r="H367" s="85">
        <f>-6.17-0.92-1.19-5.94-5.94-2.38</f>
        <v>-22.54</v>
      </c>
      <c r="I367" s="3"/>
    </row>
    <row r="368" spans="1:9">
      <c r="A368" s="511"/>
      <c r="B368" s="496"/>
      <c r="C368" s="476"/>
      <c r="D368" s="474"/>
      <c r="E368" s="4">
        <f>181-297+165+260-222+169+54-222+216+157+103-594+1+55</f>
        <v>26</v>
      </c>
      <c r="F368" s="13">
        <v>6.73</v>
      </c>
      <c r="G368" s="478"/>
      <c r="H368" s="85"/>
      <c r="I368" s="3"/>
    </row>
    <row r="369" spans="1:9">
      <c r="A369" s="289">
        <v>249</v>
      </c>
      <c r="B369" s="418" t="s">
        <v>209</v>
      </c>
      <c r="C369" s="420">
        <v>3558</v>
      </c>
      <c r="D369" s="422">
        <f>1607+245+250+236+6+460+669+32</f>
        <v>3505</v>
      </c>
      <c r="E369" s="22">
        <f>C369-D369</f>
        <v>53</v>
      </c>
      <c r="F369" s="176">
        <v>6.73</v>
      </c>
      <c r="G369" s="416">
        <f>E369*F369+H369</f>
        <v>343.23</v>
      </c>
      <c r="H369" s="423">
        <f>-13.46</f>
        <v>-13.46</v>
      </c>
      <c r="I369" s="3"/>
    </row>
    <row r="370" spans="1:9">
      <c r="A370" s="132">
        <v>250</v>
      </c>
      <c r="B370" s="417" t="s">
        <v>210</v>
      </c>
      <c r="C370" s="421">
        <v>17041</v>
      </c>
      <c r="D370" s="419">
        <f>10395+843+333+490+810+810+347+410+503+863+817</f>
        <v>16621</v>
      </c>
      <c r="E370" s="22">
        <f>C370-D370</f>
        <v>420</v>
      </c>
      <c r="F370" s="176">
        <v>6.73</v>
      </c>
      <c r="G370" s="416">
        <f>E370*F370+H370</f>
        <v>2811.55</v>
      </c>
      <c r="H370" s="423">
        <f>-7.86-5.6-1.59</f>
        <v>-15.05</v>
      </c>
      <c r="I370" s="3"/>
    </row>
    <row r="371" spans="1:9">
      <c r="A371" s="511">
        <v>251</v>
      </c>
      <c r="B371" s="488" t="s">
        <v>211</v>
      </c>
      <c r="C371" s="559">
        <v>17596</v>
      </c>
      <c r="D371" s="534">
        <f>13186+744+338+567+973+222+189+206+255+534</f>
        <v>17214</v>
      </c>
      <c r="E371" s="22">
        <v>-36</v>
      </c>
      <c r="F371" s="176">
        <v>5.93</v>
      </c>
      <c r="G371" s="501">
        <f>E371*F371+E372*F372+E373*F373+H371</f>
        <v>2598.33</v>
      </c>
      <c r="H371" s="423">
        <v>-5.25</v>
      </c>
      <c r="I371" s="3"/>
    </row>
    <row r="372" spans="1:9">
      <c r="A372" s="511"/>
      <c r="B372" s="522"/>
      <c r="C372" s="560"/>
      <c r="D372" s="535"/>
      <c r="E372" s="22">
        <f>1331-567-973+202</f>
        <v>-7</v>
      </c>
      <c r="F372" s="176">
        <v>6.17</v>
      </c>
      <c r="G372" s="530"/>
      <c r="H372" s="423"/>
      <c r="I372" s="3"/>
    </row>
    <row r="373" spans="1:9">
      <c r="A373" s="511"/>
      <c r="B373" s="489"/>
      <c r="C373" s="561"/>
      <c r="D373" s="598"/>
      <c r="E373" s="22">
        <f>57+29-222+209-189+180-206+217-255+281+225-534+274+4+66+20+269</f>
        <v>425</v>
      </c>
      <c r="F373" s="176">
        <v>6.73</v>
      </c>
      <c r="G373" s="502"/>
      <c r="H373" s="423"/>
      <c r="I373" s="3"/>
    </row>
    <row r="374" spans="1:9" ht="15.75" customHeight="1">
      <c r="A374" s="132">
        <v>252</v>
      </c>
      <c r="B374" s="417" t="s">
        <v>212</v>
      </c>
      <c r="C374" s="421">
        <v>10528</v>
      </c>
      <c r="D374" s="424">
        <f>8355+20+45+112+192+475+6+271+193+588</f>
        <v>10257</v>
      </c>
      <c r="E374" s="22">
        <f t="shared" ref="E374:E380" si="18">C374-D374</f>
        <v>271</v>
      </c>
      <c r="F374" s="176">
        <v>6.73</v>
      </c>
      <c r="G374" s="416">
        <f t="shared" ref="G374:G380" si="19">E374*F374+H374</f>
        <v>1817.1000000000001</v>
      </c>
      <c r="H374" s="423">
        <f>-6.17-0.56</f>
        <v>-6.73</v>
      </c>
      <c r="I374" s="3"/>
    </row>
    <row r="375" spans="1:9">
      <c r="A375" s="132">
        <v>253</v>
      </c>
      <c r="B375" s="417" t="s">
        <v>213</v>
      </c>
      <c r="C375" s="421">
        <v>38318</v>
      </c>
      <c r="D375" s="419">
        <f>26834+640+843+299+521+1782+303+465+891+1485+445+1025+742+891+742</f>
        <v>37908</v>
      </c>
      <c r="E375" s="22">
        <f t="shared" si="18"/>
        <v>410</v>
      </c>
      <c r="F375" s="176">
        <v>6.73</v>
      </c>
      <c r="G375" s="416">
        <f t="shared" si="19"/>
        <v>2701.3500000000004</v>
      </c>
      <c r="H375" s="423">
        <f>-41.7-6.34-3.57-6.34</f>
        <v>-57.95</v>
      </c>
      <c r="I375" s="25"/>
    </row>
    <row r="376" spans="1:9">
      <c r="A376" s="132">
        <v>254</v>
      </c>
      <c r="B376" s="417" t="s">
        <v>214</v>
      </c>
      <c r="C376" s="420">
        <v>19943</v>
      </c>
      <c r="D376" s="419">
        <f>14681+739+100+810+815+1+890+982+284</f>
        <v>19302</v>
      </c>
      <c r="E376" s="22">
        <f t="shared" si="18"/>
        <v>641</v>
      </c>
      <c r="F376" s="176">
        <v>6.73</v>
      </c>
      <c r="G376" s="416">
        <f t="shared" si="19"/>
        <v>4299.8100000000004</v>
      </c>
      <c r="H376" s="423">
        <f>-3.32-2.85-4.13-3.14-0.68</f>
        <v>-14.120000000000001</v>
      </c>
      <c r="I376" s="3"/>
    </row>
    <row r="377" spans="1:9" ht="29.25" customHeight="1">
      <c r="A377" s="132">
        <v>255</v>
      </c>
      <c r="B377" s="425" t="s">
        <v>215</v>
      </c>
      <c r="C377" s="426">
        <v>6889</v>
      </c>
      <c r="D377" s="427">
        <f>4880+58+59+266+180+197+219+111+336+349+95+39+55+3</f>
        <v>6847</v>
      </c>
      <c r="E377" s="22">
        <f t="shared" si="18"/>
        <v>42</v>
      </c>
      <c r="F377" s="176">
        <v>6.73</v>
      </c>
      <c r="G377" s="462">
        <f t="shared" si="19"/>
        <v>275.93</v>
      </c>
      <c r="H377" s="423">
        <f>-6.17-0.56</f>
        <v>-6.73</v>
      </c>
      <c r="I377" s="3"/>
    </row>
    <row r="378" spans="1:9">
      <c r="A378" s="132">
        <v>256</v>
      </c>
      <c r="B378" s="417" t="s">
        <v>216</v>
      </c>
      <c r="C378" s="420">
        <v>11284</v>
      </c>
      <c r="D378" s="419">
        <f>7692+337+168+252+311+567+20+473+257+222+193+438+49</f>
        <v>10979</v>
      </c>
      <c r="E378" s="22">
        <f t="shared" si="18"/>
        <v>305</v>
      </c>
      <c r="F378" s="176">
        <v>6.73</v>
      </c>
      <c r="G378" s="51">
        <f t="shared" si="19"/>
        <v>2031.8000000000002</v>
      </c>
      <c r="H378" s="423">
        <v>-20.85</v>
      </c>
      <c r="I378" s="3"/>
    </row>
    <row r="379" spans="1:9" ht="31.5">
      <c r="A379" s="293">
        <v>257</v>
      </c>
      <c r="B379" s="428" t="s">
        <v>370</v>
      </c>
      <c r="C379" s="429">
        <v>4</v>
      </c>
      <c r="D379" s="430">
        <v>11</v>
      </c>
      <c r="E379" s="431">
        <f t="shared" si="18"/>
        <v>-7</v>
      </c>
      <c r="F379" s="176">
        <v>5.93</v>
      </c>
      <c r="G379" s="51"/>
      <c r="H379" s="423"/>
      <c r="I379" s="3"/>
    </row>
    <row r="380" spans="1:9" ht="31.5">
      <c r="A380" s="132">
        <v>258</v>
      </c>
      <c r="B380" s="417" t="s">
        <v>217</v>
      </c>
      <c r="C380" s="421">
        <v>6511</v>
      </c>
      <c r="D380" s="419">
        <f>3049+138+116+305+22+45+40+152+567+231+216+175+118+305+145+155</f>
        <v>5779</v>
      </c>
      <c r="E380" s="22">
        <f t="shared" si="18"/>
        <v>732</v>
      </c>
      <c r="F380" s="176">
        <v>6.73</v>
      </c>
      <c r="G380" s="416">
        <f t="shared" si="19"/>
        <v>4926.3600000000006</v>
      </c>
      <c r="H380" s="423"/>
      <c r="I380" s="3" t="s">
        <v>7</v>
      </c>
    </row>
    <row r="381" spans="1:9">
      <c r="A381" s="511">
        <v>259</v>
      </c>
      <c r="B381" s="488" t="s">
        <v>218</v>
      </c>
      <c r="C381" s="559">
        <v>5484</v>
      </c>
      <c r="D381" s="534">
        <v>6340</v>
      </c>
      <c r="E381" s="22">
        <v>-1046</v>
      </c>
      <c r="F381" s="176">
        <v>6.17</v>
      </c>
      <c r="G381" s="501"/>
      <c r="H381" s="423">
        <v>-1.84</v>
      </c>
      <c r="I381" s="3"/>
    </row>
    <row r="382" spans="1:9">
      <c r="A382" s="511"/>
      <c r="B382" s="489"/>
      <c r="C382" s="561"/>
      <c r="D382" s="598"/>
      <c r="E382" s="22">
        <f>13+19+1+157</f>
        <v>190</v>
      </c>
      <c r="F382" s="176">
        <v>6.73</v>
      </c>
      <c r="G382" s="502"/>
      <c r="H382" s="423"/>
      <c r="I382" s="3"/>
    </row>
    <row r="383" spans="1:9" ht="30.75" customHeight="1">
      <c r="A383" s="132">
        <v>260</v>
      </c>
      <c r="B383" s="432" t="s">
        <v>75</v>
      </c>
      <c r="C383" s="433"/>
      <c r="D383" s="434"/>
      <c r="E383" s="22"/>
      <c r="F383" s="176"/>
      <c r="G383" s="51"/>
      <c r="H383" s="423"/>
      <c r="I383" s="3"/>
    </row>
    <row r="384" spans="1:9">
      <c r="A384" s="500">
        <v>261</v>
      </c>
      <c r="B384" s="493" t="s">
        <v>219</v>
      </c>
      <c r="C384" s="536">
        <v>20979</v>
      </c>
      <c r="D384" s="534">
        <f>14357+252+400+522+310+486+324+648+648+81+74+74+445+297+520+520+520+297+148+148+148</f>
        <v>21219</v>
      </c>
      <c r="E384" s="22">
        <v>-655</v>
      </c>
      <c r="F384" s="176">
        <v>6.17</v>
      </c>
      <c r="G384" s="501"/>
      <c r="H384" s="435">
        <f>-4.78-1.84-1.84-0.23-1.98-1.98-5.15-1.19-0.4-0.4-0.4-1.19-3.96-3.96-3.96</f>
        <v>-33.260000000000005</v>
      </c>
      <c r="I384" s="3"/>
    </row>
    <row r="385" spans="1:9">
      <c r="A385" s="500"/>
      <c r="B385" s="494"/>
      <c r="C385" s="538"/>
      <c r="D385" s="598"/>
      <c r="E385" s="22">
        <f>-74+36-74+120-445+505-297+501-520+535-520+446-520+443-297+108+293-148-148+63+198+358-148</f>
        <v>415</v>
      </c>
      <c r="F385" s="176">
        <v>6.73</v>
      </c>
      <c r="G385" s="502"/>
      <c r="H385" s="435"/>
      <c r="I385" s="3"/>
    </row>
    <row r="386" spans="1:9">
      <c r="A386" s="500">
        <v>262</v>
      </c>
      <c r="B386" s="497" t="s">
        <v>220</v>
      </c>
      <c r="C386" s="481">
        <v>19484</v>
      </c>
      <c r="D386" s="473">
        <f>6900+202+202+202+2+192+405+324+194+297+297+297+297+297+445+445+297+445+297+742+445+445+742+445+445+891+742+742+445+742+742</f>
        <v>19605</v>
      </c>
      <c r="E386" s="4">
        <v>-156</v>
      </c>
      <c r="F386" s="13">
        <v>6.17</v>
      </c>
      <c r="G386" s="501"/>
      <c r="H386" s="85">
        <f>-50.28-5.15-6.34-5.15-5.15-3.57-6.34-6.34-5.15-6.34-6.34</f>
        <v>-106.15000000000002</v>
      </c>
      <c r="I386" s="3"/>
    </row>
    <row r="387" spans="1:9">
      <c r="A387" s="500"/>
      <c r="B387" s="498"/>
      <c r="C387" s="482"/>
      <c r="D387" s="474"/>
      <c r="E387" s="4">
        <f>-297+182-297-297+370+367-297+332-297+306-445+414-445-297+626-445-297+688-742-445+1411-445-742-445-445+2240-891-742+1309-742-445+1190-742+942-742+640</f>
        <v>35</v>
      </c>
      <c r="F387" s="13">
        <v>6.73</v>
      </c>
      <c r="G387" s="502"/>
      <c r="H387" s="85"/>
      <c r="I387" s="3"/>
    </row>
    <row r="388" spans="1:9">
      <c r="A388" s="511">
        <v>263</v>
      </c>
      <c r="B388" s="495" t="s">
        <v>221</v>
      </c>
      <c r="C388" s="475">
        <v>11658</v>
      </c>
      <c r="D388" s="473">
        <f>9421+132+178+128+121+648+175+126+333+26+8</f>
        <v>11296</v>
      </c>
      <c r="E388" s="4">
        <v>-269</v>
      </c>
      <c r="F388" s="13">
        <v>6.17</v>
      </c>
      <c r="G388" s="501">
        <f t="shared" ref="G388" si="20">E388*F388+E389*F389+H388</f>
        <v>2577.59</v>
      </c>
      <c r="H388" s="85">
        <f>-0.04-1.84-0.7-2.02-4.71</f>
        <v>-9.3099999999999987</v>
      </c>
      <c r="I388" s="3"/>
    </row>
    <row r="389" spans="1:9">
      <c r="A389" s="511"/>
      <c r="B389" s="496"/>
      <c r="C389" s="476"/>
      <c r="D389" s="474"/>
      <c r="E389" s="4">
        <f>18+174+230-175+126-126+274+60-333+26-26+8-8+383</f>
        <v>631</v>
      </c>
      <c r="F389" s="13">
        <v>6.73</v>
      </c>
      <c r="G389" s="502"/>
      <c r="H389" s="85"/>
      <c r="I389" s="3"/>
    </row>
    <row r="390" spans="1:9">
      <c r="A390" s="511">
        <v>264</v>
      </c>
      <c r="B390" s="488" t="s">
        <v>222</v>
      </c>
      <c r="C390" s="475">
        <v>15584</v>
      </c>
      <c r="D390" s="473">
        <f>13992+608+366+340+300</f>
        <v>15606</v>
      </c>
      <c r="E390" s="4">
        <v>-94</v>
      </c>
      <c r="F390" s="13">
        <v>6.17</v>
      </c>
      <c r="G390" s="501"/>
      <c r="H390" s="85">
        <f>-5.68-4.82-1.76</f>
        <v>-12.26</v>
      </c>
      <c r="I390" s="3"/>
    </row>
    <row r="391" spans="1:9">
      <c r="A391" s="511"/>
      <c r="B391" s="489"/>
      <c r="C391" s="476"/>
      <c r="D391" s="474"/>
      <c r="E391" s="4">
        <f>16-366+334+260-340+178+254-300+36</f>
        <v>72</v>
      </c>
      <c r="F391" s="13">
        <v>6.73</v>
      </c>
      <c r="G391" s="502"/>
      <c r="H391" s="85"/>
      <c r="I391" s="3"/>
    </row>
    <row r="392" spans="1:9">
      <c r="A392" s="132">
        <v>265</v>
      </c>
      <c r="B392" s="261" t="s">
        <v>223</v>
      </c>
      <c r="C392" s="231">
        <v>17728</v>
      </c>
      <c r="D392" s="230">
        <f>15026+345+131+218+194+640+123+184+463+274+108</f>
        <v>17706</v>
      </c>
      <c r="E392" s="4">
        <f>C392-D392</f>
        <v>22</v>
      </c>
      <c r="F392" s="13">
        <v>6.73</v>
      </c>
      <c r="G392" s="8">
        <f>E392*F392+H392</f>
        <v>127.87</v>
      </c>
      <c r="H392" s="85">
        <f>-12.79-3.02-1.2-2.77-0.41</f>
        <v>-20.189999999999998</v>
      </c>
      <c r="I392" s="3"/>
    </row>
    <row r="393" spans="1:9" ht="31.5">
      <c r="A393" s="132">
        <v>266</v>
      </c>
      <c r="B393" s="283" t="s">
        <v>224</v>
      </c>
      <c r="C393" s="7">
        <v>13010</v>
      </c>
      <c r="D393" s="5">
        <f>10330+21+307+145+224+231+155+16+527+154</f>
        <v>12110</v>
      </c>
      <c r="E393" s="4">
        <f>C393-D393</f>
        <v>900</v>
      </c>
      <c r="F393" s="13">
        <v>6.73</v>
      </c>
      <c r="G393" s="8">
        <f>E393*F393+H393</f>
        <v>6050.27</v>
      </c>
      <c r="H393" s="85">
        <f>-3.29-3.44</f>
        <v>-6.73</v>
      </c>
      <c r="I393" s="3" t="s">
        <v>7</v>
      </c>
    </row>
    <row r="394" spans="1:9">
      <c r="A394" s="132">
        <v>267</v>
      </c>
      <c r="B394" s="261" t="s">
        <v>225</v>
      </c>
      <c r="C394" s="83">
        <v>42521</v>
      </c>
      <c r="D394" s="82">
        <f>38099+162+162+324+190+568+297+742+297+297+445+297+742</f>
        <v>42622</v>
      </c>
      <c r="E394" s="4">
        <f>C394-D394</f>
        <v>-101</v>
      </c>
      <c r="F394" s="13">
        <v>6.73</v>
      </c>
      <c r="G394" s="8"/>
      <c r="H394" s="85">
        <f>-17.55-5.15-1.19-6.34</f>
        <v>-30.230000000000004</v>
      </c>
      <c r="I394" s="3"/>
    </row>
    <row r="395" spans="1:9">
      <c r="A395" s="511">
        <v>268</v>
      </c>
      <c r="B395" s="495" t="s">
        <v>226</v>
      </c>
      <c r="C395" s="475">
        <v>15265</v>
      </c>
      <c r="D395" s="473">
        <f>12715+598+235+324+81+515+297+297</f>
        <v>15062</v>
      </c>
      <c r="E395" s="4">
        <v>-90</v>
      </c>
      <c r="F395" s="13">
        <v>6.17</v>
      </c>
      <c r="G395" s="477">
        <f>E395*F395+E396*F396+H395</f>
        <v>1404.19</v>
      </c>
      <c r="H395" s="85">
        <f>-4.83-5.19-1.19-1.19</f>
        <v>-12.399999999999999</v>
      </c>
      <c r="I395" s="3"/>
    </row>
    <row r="396" spans="1:9">
      <c r="A396" s="511"/>
      <c r="B396" s="496"/>
      <c r="C396" s="476"/>
      <c r="D396" s="474"/>
      <c r="E396" s="4">
        <f>263+253-515+83+125-297+168-297+216+126+168</f>
        <v>293</v>
      </c>
      <c r="F396" s="13">
        <v>6.73</v>
      </c>
      <c r="G396" s="478"/>
      <c r="H396" s="85"/>
      <c r="I396" s="3"/>
    </row>
    <row r="397" spans="1:9">
      <c r="A397" s="288">
        <v>269</v>
      </c>
      <c r="B397" s="265" t="s">
        <v>325</v>
      </c>
      <c r="C397" s="50">
        <v>1323</v>
      </c>
      <c r="D397" s="6">
        <v>1335</v>
      </c>
      <c r="E397" s="4">
        <f>C397-D397</f>
        <v>-12</v>
      </c>
      <c r="F397" s="13">
        <v>5.93</v>
      </c>
      <c r="G397" s="8"/>
      <c r="H397" s="85"/>
      <c r="I397" s="3" t="s">
        <v>16</v>
      </c>
    </row>
    <row r="398" spans="1:9">
      <c r="A398" s="288">
        <v>270</v>
      </c>
      <c r="B398" s="265" t="s">
        <v>227</v>
      </c>
      <c r="C398" s="6">
        <v>1703</v>
      </c>
      <c r="D398" s="6">
        <v>1385</v>
      </c>
      <c r="E398" s="4">
        <f>C398-D398</f>
        <v>318</v>
      </c>
      <c r="F398" s="13">
        <v>5.93</v>
      </c>
      <c r="G398" s="8">
        <f>E398*F398+H398</f>
        <v>1885.74</v>
      </c>
      <c r="H398" s="85"/>
      <c r="I398" s="3" t="s">
        <v>16</v>
      </c>
    </row>
    <row r="399" spans="1:9">
      <c r="A399" s="511">
        <v>271</v>
      </c>
      <c r="B399" s="495" t="s">
        <v>228</v>
      </c>
      <c r="C399" s="475">
        <v>21232</v>
      </c>
      <c r="D399" s="473">
        <f>15509+843+325+486+486+445+742+445+742+891</f>
        <v>20914</v>
      </c>
      <c r="E399" s="4">
        <v>-97</v>
      </c>
      <c r="F399" s="13">
        <v>6.17</v>
      </c>
      <c r="G399" s="477">
        <f>E399*F399+E400*F400+H399</f>
        <v>2152.81</v>
      </c>
      <c r="H399" s="85">
        <f>-20.25-6.34-5.15-6.34-3.57</f>
        <v>-41.65</v>
      </c>
      <c r="I399" s="3"/>
    </row>
    <row r="400" spans="1:9">
      <c r="A400" s="511"/>
      <c r="B400" s="496"/>
      <c r="C400" s="476"/>
      <c r="D400" s="474"/>
      <c r="E400" s="4">
        <f>90+262-445+249+188+67+188-742+186+220+171-445+178+130+101+263-742+545+219+189-891+179+255</f>
        <v>415</v>
      </c>
      <c r="F400" s="13">
        <v>6.73</v>
      </c>
      <c r="G400" s="478"/>
      <c r="H400" s="85"/>
      <c r="I400" s="3"/>
    </row>
    <row r="401" spans="1:9" ht="15" customHeight="1">
      <c r="A401" s="511">
        <v>272</v>
      </c>
      <c r="B401" s="495" t="s">
        <v>320</v>
      </c>
      <c r="C401" s="475">
        <v>16453</v>
      </c>
      <c r="D401" s="473">
        <f>11756+714+826+861+520+471+742</f>
        <v>15890</v>
      </c>
      <c r="E401" s="4">
        <v>-7</v>
      </c>
      <c r="F401" s="13">
        <v>6.17</v>
      </c>
      <c r="G401" s="477">
        <f>E401*F401+E402*F402+H401</f>
        <v>3775.9200000000005</v>
      </c>
      <c r="H401" s="85">
        <f>-3.58-5.47-0.4-1.2-6.34</f>
        <v>-16.990000000000002</v>
      </c>
      <c r="I401" s="472" t="s">
        <v>7</v>
      </c>
    </row>
    <row r="402" spans="1:9" ht="15.75" customHeight="1">
      <c r="A402" s="511"/>
      <c r="B402" s="496"/>
      <c r="C402" s="476"/>
      <c r="D402" s="474"/>
      <c r="E402" s="4">
        <f>856-861+407-520+324+273-471+509-742+504+291</f>
        <v>570</v>
      </c>
      <c r="F402" s="13">
        <v>6.73</v>
      </c>
      <c r="G402" s="478"/>
      <c r="H402" s="85"/>
      <c r="I402" s="472"/>
    </row>
    <row r="403" spans="1:9" ht="15.75" customHeight="1">
      <c r="A403" s="132">
        <v>273</v>
      </c>
      <c r="B403" s="261" t="s">
        <v>229</v>
      </c>
      <c r="C403" s="184">
        <v>8668</v>
      </c>
      <c r="D403" s="183">
        <f>8224+14+541</f>
        <v>8779</v>
      </c>
      <c r="E403" s="4">
        <f t="shared" ref="E403" si="21">C403-D403</f>
        <v>-111</v>
      </c>
      <c r="F403" s="13">
        <v>6.73</v>
      </c>
      <c r="G403" s="8"/>
      <c r="H403" s="85">
        <f>-3.72-3.01</f>
        <v>-6.73</v>
      </c>
      <c r="I403" s="3"/>
    </row>
    <row r="404" spans="1:9" ht="33" customHeight="1">
      <c r="A404" s="132">
        <v>274</v>
      </c>
      <c r="B404" s="266" t="s">
        <v>75</v>
      </c>
      <c r="C404" s="14"/>
      <c r="D404" s="15"/>
      <c r="E404" s="4"/>
      <c r="F404" s="13"/>
      <c r="G404" s="8"/>
      <c r="H404" s="85"/>
      <c r="I404" s="3"/>
    </row>
    <row r="405" spans="1:9" ht="34.5" customHeight="1">
      <c r="A405" s="132">
        <v>275</v>
      </c>
      <c r="B405" s="263" t="s">
        <v>230</v>
      </c>
      <c r="C405" s="52">
        <v>4871</v>
      </c>
      <c r="D405" s="39">
        <v>4794</v>
      </c>
      <c r="E405" s="4">
        <f>C405-D405</f>
        <v>77</v>
      </c>
      <c r="F405" s="13">
        <v>5.93</v>
      </c>
      <c r="G405" s="8">
        <f>E405*F405+H405</f>
        <v>456.60999999999996</v>
      </c>
      <c r="H405" s="85"/>
      <c r="I405" s="3"/>
    </row>
    <row r="406" spans="1:9" ht="36" customHeight="1">
      <c r="A406" s="132">
        <v>276</v>
      </c>
      <c r="B406" s="261" t="s">
        <v>231</v>
      </c>
      <c r="C406" s="181">
        <v>75</v>
      </c>
      <c r="D406" s="178">
        <v>450</v>
      </c>
      <c r="E406" s="4">
        <f>C406-D406</f>
        <v>-375</v>
      </c>
      <c r="F406" s="13">
        <v>6.73</v>
      </c>
      <c r="G406" s="8"/>
      <c r="H406" s="103"/>
      <c r="I406" s="3" t="s">
        <v>357</v>
      </c>
    </row>
    <row r="407" spans="1:9" ht="18.75" customHeight="1">
      <c r="A407" s="294">
        <v>277</v>
      </c>
      <c r="B407" s="284" t="s">
        <v>232</v>
      </c>
      <c r="C407" s="4">
        <v>21234</v>
      </c>
      <c r="D407" s="5">
        <f>16430+760+200+475+689+777+105+306+308+267+335+422+61</f>
        <v>21135</v>
      </c>
      <c r="E407" s="4">
        <f>C407-D407</f>
        <v>99</v>
      </c>
      <c r="F407" s="13">
        <v>6.73</v>
      </c>
      <c r="G407" s="8">
        <f>E407*F407+H407</f>
        <v>666.2700000000001</v>
      </c>
      <c r="H407" s="85"/>
      <c r="I407" s="3"/>
    </row>
    <row r="408" spans="1:9">
      <c r="A408" s="511">
        <v>278</v>
      </c>
      <c r="B408" s="495" t="s">
        <v>233</v>
      </c>
      <c r="C408" s="475">
        <v>10992</v>
      </c>
      <c r="D408" s="473">
        <f>8989+84+15+82+162+243+243+148+89+297+148+89+14+230</f>
        <v>10833</v>
      </c>
      <c r="E408" s="4">
        <v>-190</v>
      </c>
      <c r="F408" s="13">
        <v>6.17</v>
      </c>
      <c r="G408" s="477">
        <f>E408*F408+E409*F409+H408</f>
        <v>1143.5899999999999</v>
      </c>
      <c r="H408" s="85">
        <f>-8.83-3.96-6.03-1.19-3.96-1.03-5.78-2.1</f>
        <v>-32.880000000000003</v>
      </c>
      <c r="I408" s="3"/>
    </row>
    <row r="409" spans="1:9">
      <c r="A409" s="511"/>
      <c r="B409" s="496"/>
      <c r="C409" s="476"/>
      <c r="D409" s="474"/>
      <c r="E409" s="4">
        <f>-148+246+168-89+195-297+165-148+113-89+63-14+3-230+411</f>
        <v>349</v>
      </c>
      <c r="F409" s="13">
        <v>6.73</v>
      </c>
      <c r="G409" s="478"/>
      <c r="H409" s="85"/>
      <c r="I409" s="3"/>
    </row>
    <row r="410" spans="1:9" ht="30" customHeight="1">
      <c r="A410" s="289">
        <v>279</v>
      </c>
      <c r="B410" s="261" t="s">
        <v>327</v>
      </c>
      <c r="C410" s="203">
        <v>18253</v>
      </c>
      <c r="D410" s="200">
        <f>13617+211+821+902+787+594</f>
        <v>16932</v>
      </c>
      <c r="E410" s="4">
        <f t="shared" ref="E410:E415" si="22">C410-D410</f>
        <v>1321</v>
      </c>
      <c r="F410" s="13">
        <v>6.73</v>
      </c>
      <c r="G410" s="202">
        <f t="shared" ref="G410:G415" si="23">E410*F410+H410</f>
        <v>8881.2199999999993</v>
      </c>
      <c r="H410" s="85">
        <f>-6.17-0.56-2.38</f>
        <v>-9.11</v>
      </c>
      <c r="I410" s="3" t="s">
        <v>7</v>
      </c>
    </row>
    <row r="411" spans="1:9" ht="32.25" customHeight="1">
      <c r="A411" s="132">
        <v>280</v>
      </c>
      <c r="B411" s="359" t="s">
        <v>234</v>
      </c>
      <c r="C411" s="235">
        <v>2430</v>
      </c>
      <c r="D411" s="234">
        <f>1863+219+2+113+57</f>
        <v>2254</v>
      </c>
      <c r="E411" s="4">
        <f t="shared" si="22"/>
        <v>176</v>
      </c>
      <c r="F411" s="13">
        <v>6.73</v>
      </c>
      <c r="G411" s="233">
        <f t="shared" si="23"/>
        <v>1177.75</v>
      </c>
      <c r="H411" s="85">
        <f>-1.33-5.4</f>
        <v>-6.73</v>
      </c>
      <c r="I411" s="3"/>
    </row>
    <row r="412" spans="1:9">
      <c r="A412" s="132">
        <v>281</v>
      </c>
      <c r="B412" s="261" t="s">
        <v>235</v>
      </c>
      <c r="C412" s="191">
        <v>5411</v>
      </c>
      <c r="D412" s="192">
        <f>4642+230+7+50+178+88+69</f>
        <v>5264</v>
      </c>
      <c r="E412" s="4">
        <f t="shared" si="22"/>
        <v>147</v>
      </c>
      <c r="F412" s="13">
        <v>6.73</v>
      </c>
      <c r="G412" s="190">
        <f t="shared" si="23"/>
        <v>982.58</v>
      </c>
      <c r="H412" s="85">
        <f>-5.51-1.22</f>
        <v>-6.7299999999999995</v>
      </c>
      <c r="I412" s="3"/>
    </row>
    <row r="413" spans="1:9">
      <c r="A413" s="290">
        <v>282</v>
      </c>
      <c r="B413" s="285" t="s">
        <v>236</v>
      </c>
      <c r="C413" s="248">
        <v>1937</v>
      </c>
      <c r="D413" s="247">
        <f>415+6+399+356+104+257+376+15+5+3</f>
        <v>1936</v>
      </c>
      <c r="E413" s="4">
        <f t="shared" si="22"/>
        <v>1</v>
      </c>
      <c r="F413" s="13">
        <v>6.73</v>
      </c>
      <c r="G413" s="460"/>
      <c r="H413" s="85">
        <f>-4.1-2.63</f>
        <v>-6.7299999999999995</v>
      </c>
      <c r="I413" s="3" t="s">
        <v>237</v>
      </c>
    </row>
    <row r="414" spans="1:9">
      <c r="A414" s="289">
        <v>283</v>
      </c>
      <c r="B414" s="268" t="s">
        <v>238</v>
      </c>
      <c r="C414" s="7">
        <v>206</v>
      </c>
      <c r="D414" s="123">
        <v>200</v>
      </c>
      <c r="E414" s="4">
        <f t="shared" si="22"/>
        <v>6</v>
      </c>
      <c r="F414" s="13">
        <v>5.93</v>
      </c>
      <c r="G414" s="8">
        <f t="shared" si="23"/>
        <v>35.58</v>
      </c>
      <c r="H414" s="85"/>
      <c r="I414" s="3"/>
    </row>
    <row r="415" spans="1:9" ht="31.5">
      <c r="A415" s="289">
        <v>284</v>
      </c>
      <c r="B415" s="267" t="s">
        <v>239</v>
      </c>
      <c r="C415" s="244">
        <v>1953</v>
      </c>
      <c r="D415" s="246">
        <f>1107+188+143+47+150</f>
        <v>1635</v>
      </c>
      <c r="E415" s="4">
        <f t="shared" si="22"/>
        <v>318</v>
      </c>
      <c r="F415" s="13">
        <v>6.73</v>
      </c>
      <c r="G415" s="8">
        <f t="shared" si="23"/>
        <v>2136.7800000000002</v>
      </c>
      <c r="H415" s="85">
        <f>-2.85-0.51</f>
        <v>-3.3600000000000003</v>
      </c>
      <c r="I415" s="3"/>
    </row>
    <row r="416" spans="1:9">
      <c r="A416" s="511">
        <v>285</v>
      </c>
      <c r="B416" s="495" t="s">
        <v>240</v>
      </c>
      <c r="C416" s="475">
        <v>16814</v>
      </c>
      <c r="D416" s="473">
        <f>16934+1000</f>
        <v>17934</v>
      </c>
      <c r="E416" s="4">
        <v>-1188</v>
      </c>
      <c r="F416" s="13">
        <v>6.17</v>
      </c>
      <c r="G416" s="477"/>
      <c r="H416" s="85">
        <v>-0.9</v>
      </c>
      <c r="I416" s="3"/>
    </row>
    <row r="417" spans="1:9">
      <c r="A417" s="511"/>
      <c r="B417" s="496"/>
      <c r="C417" s="476"/>
      <c r="D417" s="474"/>
      <c r="E417" s="4">
        <f>4+213+73-1000+302+204+31+14+9+218</f>
        <v>68</v>
      </c>
      <c r="F417" s="13">
        <v>6.73</v>
      </c>
      <c r="G417" s="478"/>
      <c r="H417" s="85"/>
      <c r="I417" s="3"/>
    </row>
    <row r="418" spans="1:9" ht="36" customHeight="1">
      <c r="A418" s="132">
        <v>286</v>
      </c>
      <c r="B418" s="261" t="s">
        <v>241</v>
      </c>
      <c r="C418" s="236">
        <v>8630</v>
      </c>
      <c r="D418" s="234">
        <f>6344+433+197+196+457+101</f>
        <v>7728</v>
      </c>
      <c r="E418" s="4">
        <f>C418-D418</f>
        <v>902</v>
      </c>
      <c r="F418" s="13">
        <v>6.73</v>
      </c>
      <c r="G418" s="233">
        <f>E418*F418+H418</f>
        <v>6069.88</v>
      </c>
      <c r="H418" s="85">
        <v>-0.57999999999999996</v>
      </c>
      <c r="I418" s="3" t="s">
        <v>7</v>
      </c>
    </row>
    <row r="419" spans="1:9">
      <c r="A419" s="511">
        <v>287</v>
      </c>
      <c r="B419" s="495" t="s">
        <v>242</v>
      </c>
      <c r="C419" s="475">
        <v>16970</v>
      </c>
      <c r="D419" s="485">
        <f>8229+843+246+559+1083+810+742+1485+414+644+227+278+313+226+263+312</f>
        <v>16674</v>
      </c>
      <c r="E419" s="4">
        <v>-273</v>
      </c>
      <c r="F419" s="13">
        <v>6.17</v>
      </c>
      <c r="G419" s="477">
        <f>E419*F419+E420*F420+H419</f>
        <v>2126.6799999999998</v>
      </c>
      <c r="H419" s="85">
        <f>-5.32-6.34-5.95-0.67</f>
        <v>-18.28</v>
      </c>
      <c r="I419" s="35"/>
    </row>
    <row r="420" spans="1:9">
      <c r="A420" s="511"/>
      <c r="B420" s="496"/>
      <c r="C420" s="476"/>
      <c r="D420" s="486"/>
      <c r="E420" s="4">
        <f>293-742+301+265+226+282+380-1485+363+388+396-414+359+285-644+227-227+278-278+313-313+226-226+263-263+312-312+316</f>
        <v>569</v>
      </c>
      <c r="F420" s="13">
        <v>6.73</v>
      </c>
      <c r="G420" s="478"/>
      <c r="H420" s="103"/>
      <c r="I420" s="25"/>
    </row>
    <row r="421" spans="1:9">
      <c r="A421" s="511">
        <v>288</v>
      </c>
      <c r="B421" s="495" t="s">
        <v>243</v>
      </c>
      <c r="C421" s="475">
        <v>16251</v>
      </c>
      <c r="D421" s="473">
        <f>13876+162+162+162+162+486+148+445+104+222+153+153</f>
        <v>16235</v>
      </c>
      <c r="E421" s="4">
        <v>-155</v>
      </c>
      <c r="F421" s="13">
        <v>6.17</v>
      </c>
      <c r="G421" s="477">
        <f>E421*F421+E422*F422+H421</f>
        <v>163.60000000000014</v>
      </c>
      <c r="H421" s="85">
        <f>-12.09-5.15-0.08-5.94-3.31-4.31</f>
        <v>-30.88</v>
      </c>
      <c r="I421" s="3"/>
    </row>
    <row r="422" spans="1:9">
      <c r="A422" s="511"/>
      <c r="B422" s="496"/>
      <c r="C422" s="476"/>
      <c r="D422" s="474"/>
      <c r="E422" s="4">
        <f>4-148+414+270-445+146-104+229-222+155-153-153+155+3+12+3+5</f>
        <v>171</v>
      </c>
      <c r="F422" s="13">
        <v>6.73</v>
      </c>
      <c r="G422" s="478"/>
      <c r="H422" s="85"/>
      <c r="I422" s="3"/>
    </row>
    <row r="423" spans="1:9">
      <c r="A423" s="511">
        <v>289</v>
      </c>
      <c r="B423" s="495" t="s">
        <v>244</v>
      </c>
      <c r="C423" s="475">
        <v>13542</v>
      </c>
      <c r="D423" s="473">
        <f>9900+503+410+200+150+540+107+75+191+433+200+100+101+169+49</f>
        <v>13128</v>
      </c>
      <c r="E423" s="4">
        <v>-78</v>
      </c>
      <c r="F423" s="13">
        <v>5.93</v>
      </c>
      <c r="G423" s="477">
        <f t="shared" ref="G423" si="24">E423*F423+E424*F424+H423</f>
        <v>2846.7900000000004</v>
      </c>
      <c r="H423" s="85">
        <f>-0.21-1.62</f>
        <v>-1.83</v>
      </c>
      <c r="I423" s="3"/>
    </row>
    <row r="424" spans="1:9">
      <c r="A424" s="511"/>
      <c r="B424" s="496"/>
      <c r="C424" s="476"/>
      <c r="D424" s="474"/>
      <c r="E424" s="4">
        <f>433+235-191-433+153-200+136-100-101+306-169+49-49+423</f>
        <v>492</v>
      </c>
      <c r="F424" s="13">
        <v>6.73</v>
      </c>
      <c r="G424" s="478"/>
      <c r="H424" s="85"/>
      <c r="I424" s="3"/>
    </row>
    <row r="425" spans="1:9">
      <c r="A425" s="603">
        <v>290</v>
      </c>
      <c r="B425" s="601" t="s">
        <v>245</v>
      </c>
      <c r="C425" s="599">
        <v>243</v>
      </c>
      <c r="D425" s="599">
        <v>778</v>
      </c>
      <c r="E425" s="4">
        <v>-535</v>
      </c>
      <c r="F425" s="13">
        <v>6.17</v>
      </c>
      <c r="G425" s="477"/>
      <c r="H425" s="85">
        <v>-2.06</v>
      </c>
      <c r="I425" s="3" t="s">
        <v>16</v>
      </c>
    </row>
    <row r="426" spans="1:9">
      <c r="A426" s="603"/>
      <c r="B426" s="602"/>
      <c r="C426" s="600"/>
      <c r="D426" s="600"/>
      <c r="E426" s="4"/>
      <c r="F426" s="13">
        <v>6.73</v>
      </c>
      <c r="G426" s="478"/>
      <c r="H426" s="85"/>
      <c r="I426" s="3"/>
    </row>
    <row r="427" spans="1:9">
      <c r="A427" s="132">
        <v>291</v>
      </c>
      <c r="B427" s="261" t="s">
        <v>246</v>
      </c>
      <c r="C427" s="128">
        <v>9269</v>
      </c>
      <c r="D427" s="126">
        <f>4516+480+681+167+428+528+639+3+221+387+186+203+236+124+150</f>
        <v>8949</v>
      </c>
      <c r="E427" s="4">
        <f>C427-D427</f>
        <v>320</v>
      </c>
      <c r="F427" s="13">
        <v>6.73</v>
      </c>
      <c r="G427" s="460">
        <f>E427*F427+H427</f>
        <v>2153.6000000000004</v>
      </c>
      <c r="H427" s="85"/>
      <c r="I427" s="3"/>
    </row>
    <row r="428" spans="1:9" ht="47.25">
      <c r="A428" s="295">
        <v>292</v>
      </c>
      <c r="B428" s="376" t="s">
        <v>247</v>
      </c>
      <c r="C428" s="377">
        <v>2935</v>
      </c>
      <c r="D428" s="378">
        <f>522+1308</f>
        <v>1830</v>
      </c>
      <c r="E428" s="22">
        <f>C428-D428</f>
        <v>1105</v>
      </c>
      <c r="F428" s="13">
        <v>6.73</v>
      </c>
      <c r="G428" s="375">
        <f>E428*F428+H428</f>
        <v>7436.4900000000007</v>
      </c>
      <c r="H428" s="423">
        <v>-0.16</v>
      </c>
      <c r="I428" s="3" t="s">
        <v>356</v>
      </c>
    </row>
    <row r="429" spans="1:9" ht="47.25">
      <c r="A429" s="296">
        <v>293</v>
      </c>
      <c r="B429" s="286" t="s">
        <v>248</v>
      </c>
      <c r="C429" s="161">
        <v>4524</v>
      </c>
      <c r="D429" s="161">
        <f>615+497+42+230+271+445+67+469+572+249+237+29+297</f>
        <v>4020</v>
      </c>
      <c r="E429" s="4">
        <f>C429-D429</f>
        <v>504</v>
      </c>
      <c r="F429" s="13">
        <v>6.73</v>
      </c>
      <c r="G429" s="156">
        <f>E429*F429+H429</f>
        <v>3354.2400000000002</v>
      </c>
      <c r="H429" s="85">
        <f>-12.34-0.59-3.44-3.63-0.44-4.23-4.99-4.83-3.19</f>
        <v>-37.68</v>
      </c>
      <c r="I429" s="3" t="s">
        <v>381</v>
      </c>
    </row>
    <row r="430" spans="1:9">
      <c r="A430" s="500">
        <v>294</v>
      </c>
      <c r="B430" s="497" t="s">
        <v>249</v>
      </c>
      <c r="C430" s="608" t="s">
        <v>296</v>
      </c>
      <c r="D430" s="609"/>
      <c r="E430" s="609"/>
      <c r="F430" s="609"/>
      <c r="G430" s="610"/>
      <c r="H430" s="86"/>
      <c r="I430" s="3"/>
    </row>
    <row r="431" spans="1:9">
      <c r="A431" s="500"/>
      <c r="B431" s="498"/>
      <c r="C431" s="611"/>
      <c r="D431" s="612"/>
      <c r="E431" s="612"/>
      <c r="F431" s="612"/>
      <c r="G431" s="613"/>
      <c r="H431" s="86"/>
      <c r="I431" s="3"/>
    </row>
    <row r="432" spans="1:9" ht="34.5" customHeight="1">
      <c r="A432" s="132">
        <v>295</v>
      </c>
      <c r="B432" s="261" t="s">
        <v>250</v>
      </c>
      <c r="C432" s="490" t="s">
        <v>296</v>
      </c>
      <c r="D432" s="491"/>
      <c r="E432" s="491"/>
      <c r="F432" s="491"/>
      <c r="G432" s="492"/>
      <c r="H432" s="85"/>
      <c r="I432" s="3"/>
    </row>
    <row r="433" spans="1:9" ht="30.75" customHeight="1">
      <c r="A433" s="289">
        <v>296</v>
      </c>
      <c r="B433" s="267" t="s">
        <v>251</v>
      </c>
      <c r="C433" s="179">
        <v>18909</v>
      </c>
      <c r="D433" s="182">
        <f>14463+521+500+294+1109+554+75+145+240+316+654</f>
        <v>18871</v>
      </c>
      <c r="E433" s="4">
        <f>C433-D433</f>
        <v>38</v>
      </c>
      <c r="F433" s="13">
        <v>6.73</v>
      </c>
      <c r="G433" s="8">
        <f t="shared" ref="G433:G435" si="25">E433*F433+H433</f>
        <v>255.74</v>
      </c>
      <c r="H433" s="85"/>
      <c r="I433" s="31"/>
    </row>
    <row r="434" spans="1:9">
      <c r="A434" s="132">
        <v>297</v>
      </c>
      <c r="B434" s="263" t="s">
        <v>252</v>
      </c>
      <c r="C434" s="4">
        <v>12670</v>
      </c>
      <c r="D434" s="5">
        <f>9900+200+300+140+57+150+198+150+45+416+250+239+222+63+86</f>
        <v>12416</v>
      </c>
      <c r="E434" s="4">
        <f>C434-D434</f>
        <v>254</v>
      </c>
      <c r="F434" s="13">
        <v>6.73</v>
      </c>
      <c r="G434" s="8">
        <f t="shared" si="25"/>
        <v>1695.96</v>
      </c>
      <c r="H434" s="85">
        <f>-11.36-0.32-1.78</f>
        <v>-13.459999999999999</v>
      </c>
      <c r="I434" s="3"/>
    </row>
    <row r="435" spans="1:9">
      <c r="A435" s="132">
        <v>298</v>
      </c>
      <c r="B435" s="261" t="s">
        <v>253</v>
      </c>
      <c r="C435" s="203">
        <v>5171</v>
      </c>
      <c r="D435" s="200">
        <f>4293+184+574</f>
        <v>5051</v>
      </c>
      <c r="E435" s="4">
        <f>C435-D435</f>
        <v>120</v>
      </c>
      <c r="F435" s="13">
        <v>6.73</v>
      </c>
      <c r="G435" s="8">
        <f t="shared" si="25"/>
        <v>805.13</v>
      </c>
      <c r="H435" s="85">
        <f>-0.77-1.7</f>
        <v>-2.4699999999999998</v>
      </c>
      <c r="I435" s="3"/>
    </row>
    <row r="436" spans="1:9">
      <c r="A436" s="511">
        <v>299</v>
      </c>
      <c r="B436" s="606" t="s">
        <v>254</v>
      </c>
      <c r="C436" s="604">
        <v>6290</v>
      </c>
      <c r="D436" s="591">
        <f>4917+168+145+162+162+3+144+147+445</f>
        <v>6293</v>
      </c>
      <c r="E436" s="4">
        <v>-83</v>
      </c>
      <c r="F436" s="13">
        <v>5.93</v>
      </c>
      <c r="G436" s="477">
        <f>E436*F436+E437*F437+H436</f>
        <v>27.970000000000091</v>
      </c>
      <c r="H436" s="85">
        <f>-9.11-0.46-0.46-2.37-0.69-5.15</f>
        <v>-18.240000000000002</v>
      </c>
      <c r="I436" s="3"/>
    </row>
    <row r="437" spans="1:9">
      <c r="A437" s="511"/>
      <c r="B437" s="606"/>
      <c r="C437" s="605"/>
      <c r="D437" s="592"/>
      <c r="E437" s="4">
        <f>3+108-144+143+138-147+117-445+180+22+1+104</f>
        <v>80</v>
      </c>
      <c r="F437" s="13">
        <v>6.73</v>
      </c>
      <c r="G437" s="478"/>
      <c r="H437" s="85"/>
      <c r="I437" s="3"/>
    </row>
    <row r="438" spans="1:9">
      <c r="A438" s="511">
        <v>300</v>
      </c>
      <c r="B438" s="606" t="s">
        <v>322</v>
      </c>
      <c r="C438" s="604">
        <v>4725</v>
      </c>
      <c r="D438" s="473">
        <f>3986+162+222+148+222+297</f>
        <v>5037</v>
      </c>
      <c r="E438" s="4">
        <v>-29</v>
      </c>
      <c r="F438" s="13">
        <v>6.17</v>
      </c>
      <c r="G438" s="477"/>
      <c r="H438" s="85">
        <f>-13.52-3.96-5.94-1.19</f>
        <v>-24.610000000000003</v>
      </c>
      <c r="I438" s="3"/>
    </row>
    <row r="439" spans="1:9">
      <c r="A439" s="511"/>
      <c r="B439" s="606"/>
      <c r="C439" s="605"/>
      <c r="D439" s="474"/>
      <c r="E439" s="4">
        <f>9-222+11+174-148+72+30+57+43+36-222+11+7+13+27+24+15-297+77</f>
        <v>-283</v>
      </c>
      <c r="F439" s="13">
        <v>6.73</v>
      </c>
      <c r="G439" s="478"/>
      <c r="H439" s="85"/>
      <c r="I439" s="3"/>
    </row>
    <row r="440" spans="1:9">
      <c r="A440" s="511">
        <v>301</v>
      </c>
      <c r="B440" s="607" t="s">
        <v>358</v>
      </c>
      <c r="C440" s="481">
        <v>7536</v>
      </c>
      <c r="D440" s="473">
        <f>6047+324+75+258+122+163+445</f>
        <v>7434</v>
      </c>
      <c r="E440" s="4">
        <v>-171</v>
      </c>
      <c r="F440" s="13">
        <v>5.93</v>
      </c>
      <c r="G440" s="477">
        <f t="shared" ref="G440" si="26">E440*F440+E441*F441+H440</f>
        <v>842.83</v>
      </c>
      <c r="H440" s="85">
        <f>-3.97-0.92-0.91-3.13-5.15</f>
        <v>-14.08</v>
      </c>
      <c r="I440" s="3"/>
    </row>
    <row r="441" spans="1:9">
      <c r="A441" s="511"/>
      <c r="B441" s="529"/>
      <c r="C441" s="521"/>
      <c r="D441" s="484"/>
      <c r="E441" s="4">
        <f>392-258+140-122+163-163+167-445+55+16+12+18+77+226</f>
        <v>278</v>
      </c>
      <c r="F441" s="13">
        <v>6.73</v>
      </c>
      <c r="G441" s="478"/>
      <c r="H441" s="85"/>
      <c r="I441" s="3"/>
    </row>
    <row r="442" spans="1:9">
      <c r="A442" s="500">
        <v>302</v>
      </c>
      <c r="B442" s="497" t="s">
        <v>255</v>
      </c>
      <c r="C442" s="481">
        <v>16491</v>
      </c>
      <c r="D442" s="485">
        <f>14563+145+140+255+230+268+486+23+123+112+103+89</f>
        <v>16537</v>
      </c>
      <c r="E442" s="4">
        <v>-119</v>
      </c>
      <c r="F442" s="13">
        <v>6.17</v>
      </c>
      <c r="G442" s="477"/>
      <c r="H442" s="85">
        <f>-1.38-4.69-1.03</f>
        <v>-7.1000000000000005</v>
      </c>
      <c r="I442" s="3"/>
    </row>
    <row r="443" spans="1:9">
      <c r="A443" s="500"/>
      <c r="B443" s="498"/>
      <c r="C443" s="482"/>
      <c r="D443" s="486"/>
      <c r="E443" s="4">
        <f>133-23+123-123+112-112+103-103-89+43+9</f>
        <v>73</v>
      </c>
      <c r="F443" s="13">
        <v>6.73</v>
      </c>
      <c r="G443" s="478"/>
      <c r="H443" s="85"/>
      <c r="I443" s="3"/>
    </row>
    <row r="444" spans="1:9">
      <c r="A444" s="132">
        <v>303</v>
      </c>
      <c r="B444" s="263" t="s">
        <v>256</v>
      </c>
      <c r="C444" s="4">
        <v>20512</v>
      </c>
      <c r="D444" s="5">
        <f>16329+196+162+291+365+915+301+221+192+432+456+262+145</f>
        <v>20267</v>
      </c>
      <c r="E444" s="4">
        <f>C444-D444</f>
        <v>245</v>
      </c>
      <c r="F444" s="13">
        <v>6.73</v>
      </c>
      <c r="G444" s="8">
        <f>E444*F444+H444</f>
        <v>1642.1200000000001</v>
      </c>
      <c r="H444" s="85">
        <f>-5-1.73</f>
        <v>-6.73</v>
      </c>
      <c r="I444" s="3"/>
    </row>
    <row r="445" spans="1:9">
      <c r="A445" s="132">
        <v>304</v>
      </c>
      <c r="B445" s="261" t="s">
        <v>257</v>
      </c>
      <c r="C445" s="213">
        <v>36029</v>
      </c>
      <c r="D445" s="215">
        <f>29100+700+800+463+35+400+596+800+194+825+552+488+411+459+164+20</f>
        <v>36007</v>
      </c>
      <c r="E445" s="4">
        <f>C445-D445</f>
        <v>22</v>
      </c>
      <c r="F445" s="13">
        <v>6.73</v>
      </c>
      <c r="G445" s="8">
        <f t="shared" ref="G445" si="27">E445*F445+H445</f>
        <v>148.06</v>
      </c>
      <c r="H445" s="85"/>
      <c r="I445" s="3"/>
    </row>
    <row r="446" spans="1:9">
      <c r="A446" s="132">
        <v>305</v>
      </c>
      <c r="B446" s="261" t="s">
        <v>258</v>
      </c>
      <c r="C446" s="159">
        <v>16243</v>
      </c>
      <c r="D446" s="157">
        <f>13454+500+251+324+244+2+210+204+289+472+108+1</f>
        <v>16059</v>
      </c>
      <c r="E446" s="4">
        <f>C446-D446</f>
        <v>184</v>
      </c>
      <c r="F446" s="13">
        <v>6.73</v>
      </c>
      <c r="G446" s="8">
        <f>E446*F446+H446</f>
        <v>1231.5900000000001</v>
      </c>
      <c r="H446" s="85">
        <v>-6.73</v>
      </c>
      <c r="I446" s="3"/>
    </row>
    <row r="447" spans="1:9">
      <c r="A447" s="511">
        <v>306</v>
      </c>
      <c r="B447" s="495" t="s">
        <v>259</v>
      </c>
      <c r="C447" s="481">
        <v>26680</v>
      </c>
      <c r="D447" s="473">
        <f>21128+1000+350+520+571+563+431+575+520+133+135</f>
        <v>25926</v>
      </c>
      <c r="E447" s="4">
        <v>-53</v>
      </c>
      <c r="F447" s="13">
        <v>6.17</v>
      </c>
      <c r="G447" s="477">
        <f>E447*F447+E448*F448+H447</f>
        <v>5094.6100000000006</v>
      </c>
      <c r="H447" s="85">
        <f>-1.15-4.91-3.43</f>
        <v>-9.49</v>
      </c>
      <c r="I447" s="472" t="s">
        <v>7</v>
      </c>
    </row>
    <row r="448" spans="1:9">
      <c r="A448" s="511"/>
      <c r="B448" s="496"/>
      <c r="C448" s="482"/>
      <c r="D448" s="474"/>
      <c r="E448" s="4">
        <f>11+107-520+866-571+575-563-431+567+511-575+402-520+305+8-133+146-135+757</f>
        <v>807</v>
      </c>
      <c r="F448" s="13">
        <v>6.73</v>
      </c>
      <c r="G448" s="478"/>
      <c r="H448" s="85"/>
      <c r="I448" s="472"/>
    </row>
    <row r="449" spans="1:9" ht="31.5">
      <c r="A449" s="132">
        <v>307</v>
      </c>
      <c r="B449" s="261" t="s">
        <v>260</v>
      </c>
      <c r="C449" s="135">
        <v>5022</v>
      </c>
      <c r="D449" s="136">
        <f>3113+505+550+180+437+138+138</f>
        <v>5061</v>
      </c>
      <c r="E449" s="4">
        <f>C449-D449</f>
        <v>-39</v>
      </c>
      <c r="F449" s="13">
        <v>6.73</v>
      </c>
      <c r="G449" s="134"/>
      <c r="H449" s="85">
        <v>6.73</v>
      </c>
      <c r="I449" s="3"/>
    </row>
    <row r="450" spans="1:9" ht="45" customHeight="1">
      <c r="A450" s="307">
        <v>308</v>
      </c>
      <c r="B450" s="310" t="s">
        <v>297</v>
      </c>
      <c r="C450" s="311">
        <v>2759</v>
      </c>
      <c r="D450" s="309">
        <f>910+543+532</f>
        <v>1985</v>
      </c>
      <c r="E450" s="4">
        <f>C450-D450</f>
        <v>774</v>
      </c>
      <c r="F450" s="13">
        <v>6.73</v>
      </c>
      <c r="G450" s="308">
        <f>E450*F450+H450</f>
        <v>5209.0200000000004</v>
      </c>
      <c r="H450" s="85"/>
      <c r="I450" s="3" t="s">
        <v>382</v>
      </c>
    </row>
    <row r="451" spans="1:9">
      <c r="A451" s="132">
        <v>309</v>
      </c>
      <c r="B451" s="261" t="s">
        <v>261</v>
      </c>
      <c r="C451" s="203">
        <v>4162</v>
      </c>
      <c r="D451" s="200">
        <f>2161+244+38+773+179+578+185</f>
        <v>4158</v>
      </c>
      <c r="E451" s="4">
        <f>C451-D451</f>
        <v>4</v>
      </c>
      <c r="F451" s="13">
        <v>6.73</v>
      </c>
      <c r="G451" s="374">
        <f t="shared" ref="G451:G452" si="28">E451*F451+H451</f>
        <v>13.46</v>
      </c>
      <c r="H451" s="85">
        <f>-10.88-2.58</f>
        <v>-13.46</v>
      </c>
      <c r="I451" s="3"/>
    </row>
    <row r="452" spans="1:9">
      <c r="A452" s="350">
        <v>310</v>
      </c>
      <c r="B452" s="352" t="s">
        <v>262</v>
      </c>
      <c r="C452" s="353">
        <v>7322</v>
      </c>
      <c r="D452" s="351">
        <f>6191+202+175+327+7+275</f>
        <v>7177</v>
      </c>
      <c r="E452" s="4">
        <f>C452-D452</f>
        <v>145</v>
      </c>
      <c r="F452" s="13">
        <v>6.73</v>
      </c>
      <c r="G452" s="374">
        <f t="shared" si="28"/>
        <v>957.47</v>
      </c>
      <c r="H452" s="85">
        <f>-7.66-4.66-6.06</f>
        <v>-18.38</v>
      </c>
      <c r="I452" s="3"/>
    </row>
    <row r="453" spans="1:9" ht="20.25" customHeight="1">
      <c r="A453" s="288">
        <v>311</v>
      </c>
      <c r="B453" s="265" t="s">
        <v>263</v>
      </c>
      <c r="C453" s="6">
        <v>1869</v>
      </c>
      <c r="D453" s="6">
        <v>1957</v>
      </c>
      <c r="E453" s="4">
        <f>C453-D453</f>
        <v>-88</v>
      </c>
      <c r="F453" s="13">
        <v>5.93</v>
      </c>
      <c r="G453" s="460"/>
      <c r="H453" s="85"/>
      <c r="I453" s="3" t="s">
        <v>16</v>
      </c>
    </row>
    <row r="454" spans="1:9" ht="15.75" customHeight="1">
      <c r="A454" s="511">
        <v>312</v>
      </c>
      <c r="B454" s="495" t="s">
        <v>264</v>
      </c>
      <c r="C454" s="481">
        <v>10581</v>
      </c>
      <c r="D454" s="473">
        <f>8730+300+173+314+300+500+500</f>
        <v>10817</v>
      </c>
      <c r="E454" s="4">
        <v>-239</v>
      </c>
      <c r="F454" s="13">
        <v>6.17</v>
      </c>
      <c r="G454" s="477"/>
      <c r="H454" s="85">
        <v>-1.73</v>
      </c>
      <c r="I454" s="3"/>
    </row>
    <row r="455" spans="1:9" ht="17.25" customHeight="1">
      <c r="A455" s="511"/>
      <c r="B455" s="496"/>
      <c r="C455" s="482"/>
      <c r="D455" s="474"/>
      <c r="E455" s="4">
        <f>339-500+260-500+196+101+20+87</f>
        <v>3</v>
      </c>
      <c r="F455" s="13">
        <v>6.73</v>
      </c>
      <c r="G455" s="478"/>
      <c r="H455" s="85"/>
      <c r="I455" s="3"/>
    </row>
    <row r="456" spans="1:9" ht="15.75" customHeight="1">
      <c r="A456" s="132">
        <v>313</v>
      </c>
      <c r="B456" s="263" t="s">
        <v>265</v>
      </c>
      <c r="C456" s="4">
        <v>13019</v>
      </c>
      <c r="D456" s="5">
        <f>7894+411+556+690+1+664+324+104+208+401+401+371+326+222</f>
        <v>12573</v>
      </c>
      <c r="E456" s="4">
        <f>C456-D456</f>
        <v>446</v>
      </c>
      <c r="F456" s="13">
        <v>6.73</v>
      </c>
      <c r="G456" s="8">
        <f>E456*F456+H456</f>
        <v>2974.9300000000003</v>
      </c>
      <c r="H456" s="85">
        <f>-8.74-0.16-1.27-0.08-1.27-3.17-6.02-5.94</f>
        <v>-26.650000000000002</v>
      </c>
      <c r="I456" s="3"/>
    </row>
    <row r="457" spans="1:9" ht="30" customHeight="1">
      <c r="A457" s="459">
        <v>314</v>
      </c>
      <c r="B457" s="456" t="s">
        <v>338</v>
      </c>
      <c r="C457" s="458">
        <v>14762</v>
      </c>
      <c r="D457" s="457">
        <f>6227+753+162+486+742+742+249+413+1589+1723+1106+457+67</f>
        <v>14716</v>
      </c>
      <c r="E457" s="4">
        <f>C457-D457</f>
        <v>46</v>
      </c>
      <c r="F457" s="13">
        <v>6.73</v>
      </c>
      <c r="G457" s="8">
        <f>E457*F457+H457</f>
        <v>302.85000000000002</v>
      </c>
      <c r="H457" s="85">
        <v>-6.73</v>
      </c>
      <c r="I457" s="3"/>
    </row>
    <row r="458" spans="1:9" ht="16.5" customHeight="1">
      <c r="A458" s="500">
        <v>315</v>
      </c>
      <c r="B458" s="497" t="s">
        <v>266</v>
      </c>
      <c r="C458" s="475">
        <v>243</v>
      </c>
      <c r="D458" s="473">
        <f>152+42</f>
        <v>194</v>
      </c>
      <c r="E458" s="4">
        <v>35</v>
      </c>
      <c r="F458" s="13">
        <v>6.17</v>
      </c>
      <c r="G458" s="477">
        <f>E458*F458+E459*F459+H458</f>
        <v>310.16999999999996</v>
      </c>
      <c r="H458" s="85"/>
      <c r="I458" s="3"/>
    </row>
    <row r="459" spans="1:9" ht="15.75" customHeight="1">
      <c r="A459" s="500"/>
      <c r="B459" s="498"/>
      <c r="C459" s="476"/>
      <c r="D459" s="474"/>
      <c r="E459" s="4">
        <f>4+10</f>
        <v>14</v>
      </c>
      <c r="F459" s="13">
        <v>6.73</v>
      </c>
      <c r="G459" s="478"/>
      <c r="H459" s="85"/>
      <c r="I459" s="3"/>
    </row>
    <row r="460" spans="1:9">
      <c r="A460" s="511">
        <v>316</v>
      </c>
      <c r="B460" s="495" t="s">
        <v>267</v>
      </c>
      <c r="C460" s="475">
        <v>14523</v>
      </c>
      <c r="D460" s="473">
        <f>10876+1124+258+585+20+148+200+170+347+279+233+121+20</f>
        <v>14381</v>
      </c>
      <c r="E460" s="4">
        <v>-362</v>
      </c>
      <c r="F460" s="13">
        <v>5.93</v>
      </c>
      <c r="G460" s="477">
        <f>E460*F460+E461*F461+H460</f>
        <v>1238.3200000000002</v>
      </c>
      <c r="H460" s="85">
        <f>-0.5-2.12-4.32</f>
        <v>-6.94</v>
      </c>
      <c r="I460" s="3"/>
    </row>
    <row r="461" spans="1:9" ht="18.75" customHeight="1">
      <c r="A461" s="511"/>
      <c r="B461" s="496"/>
      <c r="C461" s="476"/>
      <c r="D461" s="474"/>
      <c r="E461" s="4">
        <f>136+354-170+347-347+279-279+233-233+121-121+20-20+184</f>
        <v>504</v>
      </c>
      <c r="F461" s="13">
        <v>6.73</v>
      </c>
      <c r="G461" s="478"/>
      <c r="H461" s="85"/>
      <c r="I461" s="3"/>
    </row>
    <row r="462" spans="1:9" ht="36.75" customHeight="1">
      <c r="A462" s="132">
        <v>317</v>
      </c>
      <c r="B462" s="264" t="s">
        <v>268</v>
      </c>
      <c r="C462" s="63">
        <v>4228</v>
      </c>
      <c r="D462" s="62">
        <f>1795+200+400+203+27+190+157+172+297+252+297+74</f>
        <v>4064</v>
      </c>
      <c r="E462" s="4">
        <f>C462-D462</f>
        <v>164</v>
      </c>
      <c r="F462" s="13">
        <v>6.73</v>
      </c>
      <c r="G462" s="8">
        <f>E462*F462+H462</f>
        <v>1093.82</v>
      </c>
      <c r="H462" s="85">
        <f>-1.19-5.54-1.19-1.98</f>
        <v>-9.9</v>
      </c>
      <c r="I462" s="3"/>
    </row>
    <row r="463" spans="1:9" ht="15" customHeight="1">
      <c r="A463" s="511">
        <v>318</v>
      </c>
      <c r="B463" s="495" t="s">
        <v>269</v>
      </c>
      <c r="C463" s="475">
        <v>18748</v>
      </c>
      <c r="D463" s="473">
        <f>15891+274+192+110+78+84+178+135+155+327+193+226+144+259+179+19</f>
        <v>18444</v>
      </c>
      <c r="E463" s="4">
        <v>-34</v>
      </c>
      <c r="F463" s="13">
        <v>6.17</v>
      </c>
      <c r="G463" s="477">
        <f>E463*F463+E464*F464+H463</f>
        <v>2059.38</v>
      </c>
      <c r="H463" s="85">
        <f>-5-0.58</f>
        <v>-5.58</v>
      </c>
      <c r="I463" s="3"/>
    </row>
    <row r="464" spans="1:9" ht="15.75" customHeight="1">
      <c r="A464" s="511"/>
      <c r="B464" s="496"/>
      <c r="C464" s="476"/>
      <c r="D464" s="474"/>
      <c r="E464" s="4">
        <f>41+268-327+163-193+226-226+153-144+284-259+225-179+19-19+306</f>
        <v>338</v>
      </c>
      <c r="F464" s="13">
        <v>6.73</v>
      </c>
      <c r="G464" s="478"/>
      <c r="H464" s="85"/>
      <c r="I464" s="3"/>
    </row>
    <row r="465" spans="1:12" ht="51" customHeight="1">
      <c r="A465" s="407">
        <v>319</v>
      </c>
      <c r="B465" s="409" t="s">
        <v>270</v>
      </c>
      <c r="C465" s="404">
        <v>1489</v>
      </c>
      <c r="D465" s="411">
        <f>65+476+294</f>
        <v>835</v>
      </c>
      <c r="E465" s="4">
        <f>C465-D465</f>
        <v>654</v>
      </c>
      <c r="F465" s="13">
        <v>6.73</v>
      </c>
      <c r="G465" s="405">
        <f>E465*F465+H465</f>
        <v>4401.42</v>
      </c>
      <c r="H465" s="85"/>
      <c r="I465" s="28" t="s">
        <v>383</v>
      </c>
    </row>
    <row r="466" spans="1:12" ht="51" customHeight="1">
      <c r="A466" s="295">
        <v>320</v>
      </c>
      <c r="B466" s="261" t="s">
        <v>340</v>
      </c>
      <c r="C466" s="76">
        <v>328</v>
      </c>
      <c r="D466" s="75">
        <f>121+40+27+61+49</f>
        <v>298</v>
      </c>
      <c r="E466" s="4">
        <f>C466-D466</f>
        <v>30</v>
      </c>
      <c r="F466" s="13">
        <v>6.73</v>
      </c>
      <c r="G466" s="460">
        <f t="shared" ref="G466:G467" si="29">E466*F466+H466</f>
        <v>201.9</v>
      </c>
      <c r="H466" s="85"/>
      <c r="I466" s="3" t="s">
        <v>330</v>
      </c>
    </row>
    <row r="467" spans="1:12" ht="15.75" customHeight="1">
      <c r="A467" s="339">
        <v>321</v>
      </c>
      <c r="B467" s="343" t="s">
        <v>271</v>
      </c>
      <c r="C467" s="341">
        <v>4830</v>
      </c>
      <c r="D467" s="340">
        <f>3454+165+525+7+204+308</f>
        <v>4663</v>
      </c>
      <c r="E467" s="4">
        <f>C467-D467</f>
        <v>167</v>
      </c>
      <c r="F467" s="13">
        <v>6.73</v>
      </c>
      <c r="G467" s="460">
        <f t="shared" si="29"/>
        <v>1123.9100000000001</v>
      </c>
      <c r="H467" s="85"/>
      <c r="I467" s="3"/>
      <c r="J467" s="1"/>
      <c r="K467" s="1"/>
      <c r="L467" s="1"/>
    </row>
    <row r="468" spans="1:12" ht="15" customHeight="1">
      <c r="A468" s="511">
        <v>322</v>
      </c>
      <c r="B468" s="495" t="s">
        <v>272</v>
      </c>
      <c r="C468" s="481">
        <v>1390</v>
      </c>
      <c r="D468" s="473">
        <f>1100+19+131</f>
        <v>1250</v>
      </c>
      <c r="E468" s="4">
        <v>-5</v>
      </c>
      <c r="F468" s="13">
        <v>5.93</v>
      </c>
      <c r="G468" s="477">
        <f>E468*F468+E469*F469+H468</f>
        <v>956.0200000000001</v>
      </c>
      <c r="H468" s="85">
        <v>-3.64</v>
      </c>
      <c r="I468" s="3"/>
    </row>
    <row r="469" spans="1:12" ht="17.25" customHeight="1">
      <c r="A469" s="511"/>
      <c r="B469" s="496"/>
      <c r="C469" s="482"/>
      <c r="D469" s="474"/>
      <c r="E469" s="4">
        <f>26+48-131+198+6</f>
        <v>147</v>
      </c>
      <c r="F469" s="13">
        <v>6.73</v>
      </c>
      <c r="G469" s="478"/>
      <c r="H469" s="85"/>
      <c r="I469" s="3"/>
    </row>
    <row r="470" spans="1:12" ht="36" customHeight="1">
      <c r="A470" s="132">
        <v>323</v>
      </c>
      <c r="B470" s="261" t="s">
        <v>273</v>
      </c>
      <c r="C470" s="213">
        <v>14120</v>
      </c>
      <c r="D470" s="215">
        <f>10500+87+1860+119+336+742</f>
        <v>13644</v>
      </c>
      <c r="E470" s="4">
        <f>C470-D470</f>
        <v>476</v>
      </c>
      <c r="F470" s="13">
        <v>6.73</v>
      </c>
      <c r="G470" s="212">
        <f>E470*F470+H470</f>
        <v>3192.65</v>
      </c>
      <c r="H470" s="85">
        <f>-4.49-6.34</f>
        <v>-10.83</v>
      </c>
      <c r="I470" s="3" t="s">
        <v>7</v>
      </c>
    </row>
    <row r="471" spans="1:12" ht="17.25" customHeight="1">
      <c r="A471" s="499">
        <v>324</v>
      </c>
      <c r="B471" s="509" t="s">
        <v>274</v>
      </c>
      <c r="C471" s="507">
        <v>1507</v>
      </c>
      <c r="D471" s="507">
        <f>148+18+53+50+32+46+96</f>
        <v>443</v>
      </c>
      <c r="E471" s="4">
        <v>110</v>
      </c>
      <c r="F471" s="13">
        <v>6.17</v>
      </c>
      <c r="G471" s="477"/>
      <c r="H471" s="85"/>
      <c r="I471" s="3" t="s">
        <v>275</v>
      </c>
    </row>
    <row r="472" spans="1:12" ht="14.25" customHeight="1">
      <c r="A472" s="499"/>
      <c r="B472" s="510"/>
      <c r="C472" s="508"/>
      <c r="D472" s="508"/>
      <c r="E472" s="4">
        <f>46+59+45+49</f>
        <v>199</v>
      </c>
      <c r="F472" s="13">
        <v>6.73</v>
      </c>
      <c r="G472" s="478"/>
      <c r="H472" s="85"/>
      <c r="I472" s="3"/>
    </row>
    <row r="473" spans="1:12" ht="17.25" customHeight="1">
      <c r="A473" s="499">
        <v>325</v>
      </c>
      <c r="B473" s="509" t="s">
        <v>274</v>
      </c>
      <c r="C473" s="507">
        <v>15494</v>
      </c>
      <c r="D473" s="507">
        <f>2417+219+689+455+520+127+231+487</f>
        <v>5145</v>
      </c>
      <c r="E473" s="4">
        <v>1180</v>
      </c>
      <c r="F473" s="13">
        <v>6.17</v>
      </c>
      <c r="G473" s="477"/>
      <c r="H473" s="85">
        <f>-1.01-5.16</f>
        <v>-6.17</v>
      </c>
      <c r="I473" s="472" t="s">
        <v>275</v>
      </c>
    </row>
    <row r="474" spans="1:12" ht="25.5" customHeight="1">
      <c r="A474" s="499"/>
      <c r="B474" s="510"/>
      <c r="C474" s="508"/>
      <c r="D474" s="508"/>
      <c r="E474" s="4">
        <f>411+458+277+201</f>
        <v>1347</v>
      </c>
      <c r="F474" s="13">
        <v>6.73</v>
      </c>
      <c r="G474" s="478"/>
      <c r="H474" s="85"/>
      <c r="I474" s="472"/>
    </row>
    <row r="475" spans="1:12" ht="15.75" customHeight="1">
      <c r="A475" s="511">
        <v>326</v>
      </c>
      <c r="B475" s="495" t="s">
        <v>78</v>
      </c>
      <c r="C475" s="475">
        <v>3231</v>
      </c>
      <c r="D475" s="473">
        <f>2545+200+100+80+50+59+50+120</f>
        <v>3204</v>
      </c>
      <c r="E475" s="4">
        <v>-23</v>
      </c>
      <c r="F475" s="13">
        <v>6.17</v>
      </c>
      <c r="G475" s="477">
        <f t="shared" ref="G475" si="30">E475*F475+E476*F476+H475</f>
        <v>195.17000000000002</v>
      </c>
      <c r="H475" s="85">
        <f>-2.73-3.42</f>
        <v>-6.15</v>
      </c>
      <c r="I475" s="3"/>
    </row>
    <row r="476" spans="1:12" ht="15.75" customHeight="1">
      <c r="A476" s="511"/>
      <c r="B476" s="496"/>
      <c r="C476" s="476"/>
      <c r="D476" s="474"/>
      <c r="E476" s="4">
        <f>35+1+45-59+10+40-50+36-120+25+12+15+61</f>
        <v>51</v>
      </c>
      <c r="F476" s="13">
        <v>6.73</v>
      </c>
      <c r="G476" s="478"/>
      <c r="H476" s="85"/>
      <c r="I476" s="3"/>
    </row>
    <row r="477" spans="1:12" ht="19.5" customHeight="1">
      <c r="A477" s="132">
        <v>327</v>
      </c>
      <c r="B477" s="263" t="s">
        <v>276</v>
      </c>
      <c r="C477" s="4">
        <v>4540</v>
      </c>
      <c r="D477" s="5">
        <v>4636</v>
      </c>
      <c r="E477" s="4">
        <f>C477-D477</f>
        <v>-96</v>
      </c>
      <c r="F477" s="13">
        <v>5.93</v>
      </c>
      <c r="G477" s="8"/>
      <c r="H477" s="85"/>
      <c r="I477" s="3"/>
    </row>
    <row r="478" spans="1:12" ht="29.25" customHeight="1">
      <c r="A478" s="132">
        <v>328</v>
      </c>
      <c r="B478" s="261" t="s">
        <v>316</v>
      </c>
      <c r="C478" s="162">
        <v>33423</v>
      </c>
      <c r="D478" s="164">
        <f>23055+172+1+681+895+1464+359+991+492+557+437+695+1262+665+242+65+45+50+284</f>
        <v>32412</v>
      </c>
      <c r="E478" s="4">
        <f>C478-D478</f>
        <v>1011</v>
      </c>
      <c r="F478" s="13">
        <v>6.73</v>
      </c>
      <c r="G478" s="8">
        <f t="shared" ref="G478" si="31">E478*F478+H478</f>
        <v>6797.3000000000011</v>
      </c>
      <c r="H478" s="85">
        <f>-5.93-0.24-0.56</f>
        <v>-6.73</v>
      </c>
      <c r="I478" s="3" t="s">
        <v>7</v>
      </c>
    </row>
    <row r="479" spans="1:12" ht="30.75" customHeight="1">
      <c r="A479" s="132">
        <v>329</v>
      </c>
      <c r="B479" s="261" t="s">
        <v>277</v>
      </c>
      <c r="C479" s="168">
        <v>17615</v>
      </c>
      <c r="D479" s="167">
        <f>13320+373+239+278+382+666+207+55+1285</f>
        <v>16805</v>
      </c>
      <c r="E479" s="4">
        <f>C479-D479</f>
        <v>810</v>
      </c>
      <c r="F479" s="13">
        <v>6.73</v>
      </c>
      <c r="G479" s="8">
        <f>E479*F479+H479</f>
        <v>5450.35</v>
      </c>
      <c r="H479" s="85">
        <v>-0.95</v>
      </c>
      <c r="I479" s="3" t="s">
        <v>7</v>
      </c>
    </row>
    <row r="480" spans="1:12" ht="18" customHeight="1">
      <c r="A480" s="511">
        <v>330</v>
      </c>
      <c r="B480" s="495" t="s">
        <v>305</v>
      </c>
      <c r="C480" s="475">
        <v>1883</v>
      </c>
      <c r="D480" s="473">
        <f>337+486+102+159+2+222+445+148</f>
        <v>1901</v>
      </c>
      <c r="E480" s="4">
        <v>-164</v>
      </c>
      <c r="F480" s="13">
        <v>5.93</v>
      </c>
      <c r="G480" s="477"/>
      <c r="H480" s="85">
        <f>-1.59-1.38-5.54-5.51-5.94-5.15-3.96</f>
        <v>-29.07</v>
      </c>
      <c r="I480" s="3" t="s">
        <v>278</v>
      </c>
    </row>
    <row r="481" spans="1:9" ht="30" customHeight="1">
      <c r="A481" s="511"/>
      <c r="B481" s="496"/>
      <c r="C481" s="476"/>
      <c r="D481" s="474"/>
      <c r="E481" s="4">
        <f>143-2+227-222+183+248+128-445-148+34</f>
        <v>146</v>
      </c>
      <c r="F481" s="13">
        <v>6.73</v>
      </c>
      <c r="G481" s="478"/>
      <c r="H481" s="85"/>
      <c r="I481" s="3"/>
    </row>
    <row r="482" spans="1:9" ht="19.5" customHeight="1">
      <c r="A482" s="511">
        <v>331</v>
      </c>
      <c r="B482" s="495" t="s">
        <v>371</v>
      </c>
      <c r="C482" s="475">
        <v>11600</v>
      </c>
      <c r="D482" s="473">
        <f>7752+1000+324+324+138+170+445+445+594</f>
        <v>11192</v>
      </c>
      <c r="E482" s="4">
        <v>-403</v>
      </c>
      <c r="F482" s="13">
        <v>5.93</v>
      </c>
      <c r="G482" s="477">
        <f>E482*F482+E483*F483+H482</f>
        <v>3049.2800000000007</v>
      </c>
      <c r="H482" s="85">
        <f>-0.92-0.92-4.44-5.15-5.15-2.38</f>
        <v>-18.959999999999997</v>
      </c>
      <c r="I482" s="472" t="s">
        <v>7</v>
      </c>
    </row>
    <row r="483" spans="1:9" ht="18" customHeight="1">
      <c r="A483" s="511"/>
      <c r="B483" s="496"/>
      <c r="C483" s="476"/>
      <c r="D483" s="474"/>
      <c r="E483" s="4">
        <f>477-170+346-445+329-445+348+76+30-594+120+739</f>
        <v>811</v>
      </c>
      <c r="F483" s="13">
        <v>6.73</v>
      </c>
      <c r="G483" s="478"/>
      <c r="H483" s="85"/>
      <c r="I483" s="472"/>
    </row>
    <row r="484" spans="1:9" ht="27" customHeight="1">
      <c r="A484" s="289">
        <v>332</v>
      </c>
      <c r="B484" s="267" t="s">
        <v>279</v>
      </c>
      <c r="C484" s="244">
        <v>16263</v>
      </c>
      <c r="D484" s="245">
        <f>11492+1686+1517+130+445+1+849</f>
        <v>16120</v>
      </c>
      <c r="E484" s="4">
        <f>C484-D484</f>
        <v>143</v>
      </c>
      <c r="F484" s="13">
        <v>6.73</v>
      </c>
      <c r="G484" s="243">
        <f>E484*F484+H484</f>
        <v>942.2</v>
      </c>
      <c r="H484" s="85">
        <f>-16.14-4.05</f>
        <v>-20.190000000000001</v>
      </c>
      <c r="I484" s="28"/>
    </row>
    <row r="485" spans="1:9" ht="27" customHeight="1">
      <c r="A485" s="132">
        <v>333</v>
      </c>
      <c r="B485" s="266" t="s">
        <v>75</v>
      </c>
      <c r="C485" s="14"/>
      <c r="D485" s="15"/>
      <c r="E485" s="4"/>
      <c r="F485" s="13"/>
      <c r="G485" s="8"/>
      <c r="H485" s="85"/>
      <c r="I485" s="3"/>
    </row>
    <row r="486" spans="1:9" ht="23.25" customHeight="1">
      <c r="A486" s="288">
        <v>334</v>
      </c>
      <c r="B486" s="287" t="s">
        <v>280</v>
      </c>
      <c r="C486" s="6">
        <v>290</v>
      </c>
      <c r="D486" s="6">
        <v>290</v>
      </c>
      <c r="E486" s="4">
        <f>C486-D486</f>
        <v>0</v>
      </c>
      <c r="F486" s="13">
        <v>6.73</v>
      </c>
      <c r="G486" s="8"/>
      <c r="H486" s="85"/>
      <c r="I486" s="3" t="s">
        <v>16</v>
      </c>
    </row>
    <row r="487" spans="1:9" ht="34.5" customHeight="1">
      <c r="A487" s="288">
        <v>335</v>
      </c>
      <c r="B487" s="265" t="s">
        <v>337</v>
      </c>
      <c r="C487" s="44">
        <v>470</v>
      </c>
      <c r="D487" s="44">
        <v>679</v>
      </c>
      <c r="E487" s="4">
        <f>C487-D487</f>
        <v>-209</v>
      </c>
      <c r="F487" s="13">
        <v>5.93</v>
      </c>
      <c r="G487" s="8"/>
      <c r="H487" s="85"/>
      <c r="I487" s="3" t="s">
        <v>16</v>
      </c>
    </row>
    <row r="488" spans="1:9" ht="31.5">
      <c r="A488" s="132">
        <v>336</v>
      </c>
      <c r="B488" s="261" t="s">
        <v>281</v>
      </c>
      <c r="C488" s="81">
        <v>35487</v>
      </c>
      <c r="D488" s="80">
        <f>26598+843+878+47+419+523+648+590+350+222+785+595+878+323+255+669</f>
        <v>34623</v>
      </c>
      <c r="E488" s="4">
        <f>C488-D488</f>
        <v>864</v>
      </c>
      <c r="F488" s="13">
        <v>6.73</v>
      </c>
      <c r="G488" s="8">
        <f>E488*F488+H488</f>
        <v>5787.8</v>
      </c>
      <c r="H488" s="85">
        <f>-24.32-2.6</f>
        <v>-26.92</v>
      </c>
      <c r="I488" s="3" t="s">
        <v>7</v>
      </c>
    </row>
    <row r="489" spans="1:9">
      <c r="A489" s="511">
        <v>337</v>
      </c>
      <c r="B489" s="495" t="s">
        <v>282</v>
      </c>
      <c r="C489" s="475">
        <v>9231</v>
      </c>
      <c r="D489" s="473">
        <f>6932+486+297+148+148+74+297+445+445</f>
        <v>9272</v>
      </c>
      <c r="E489" s="4">
        <v>-253</v>
      </c>
      <c r="F489" s="13">
        <v>6.17</v>
      </c>
      <c r="G489" s="477"/>
      <c r="H489" s="85">
        <f>-7.52-1.19-3.96-3.96-1.98-1.19-5.15-5.15</f>
        <v>-30.1</v>
      </c>
      <c r="I489" s="3"/>
    </row>
    <row r="490" spans="1:9" ht="17.25" customHeight="1">
      <c r="A490" s="511"/>
      <c r="B490" s="496"/>
      <c r="C490" s="476"/>
      <c r="D490" s="474"/>
      <c r="E490" s="4">
        <f>121+202+130-297+111-148+132+127-148+70-74+76+61+55-297+116+105+138-445+173+108+129-445+134+78</f>
        <v>212</v>
      </c>
      <c r="F490" s="13">
        <v>6.73</v>
      </c>
      <c r="G490" s="478"/>
      <c r="H490" s="85"/>
      <c r="I490" s="3"/>
    </row>
    <row r="491" spans="1:9" ht="17.25" customHeight="1">
      <c r="A491" s="511">
        <v>338</v>
      </c>
      <c r="B491" s="614" t="s">
        <v>283</v>
      </c>
      <c r="C491" s="475">
        <v>5511</v>
      </c>
      <c r="D491" s="473">
        <f>4473+374+288+445</f>
        <v>5580</v>
      </c>
      <c r="E491" s="4">
        <v>-178</v>
      </c>
      <c r="F491" s="13">
        <v>6.17</v>
      </c>
      <c r="G491" s="477"/>
      <c r="H491" s="85">
        <f>-5.22-5.15</f>
        <v>-10.370000000000001</v>
      </c>
      <c r="I491" s="3"/>
    </row>
    <row r="492" spans="1:9" ht="16.5" customHeight="1">
      <c r="A492" s="511"/>
      <c r="B492" s="615"/>
      <c r="C492" s="476"/>
      <c r="D492" s="474"/>
      <c r="E492" s="4">
        <f>79+278+27+83-445+80+7</f>
        <v>109</v>
      </c>
      <c r="F492" s="13">
        <v>6.73</v>
      </c>
      <c r="G492" s="478"/>
      <c r="H492" s="85"/>
      <c r="I492" s="3"/>
    </row>
    <row r="493" spans="1:9" ht="31.5">
      <c r="A493" s="132">
        <v>339</v>
      </c>
      <c r="B493" s="261" t="s">
        <v>284</v>
      </c>
      <c r="C493" s="110">
        <v>2786</v>
      </c>
      <c r="D493" s="109">
        <f>1408+161+358+366+150+18+64+70+53+36+5</f>
        <v>2689</v>
      </c>
      <c r="E493" s="4">
        <f>C493-D493</f>
        <v>97</v>
      </c>
      <c r="F493" s="13">
        <v>6.73</v>
      </c>
      <c r="G493" s="8">
        <f t="shared" ref="G493:G496" si="32">E493*F493+H493</f>
        <v>652.81000000000006</v>
      </c>
      <c r="H493" s="85"/>
      <c r="I493" s="47"/>
    </row>
    <row r="494" spans="1:9" ht="16.5" customHeight="1">
      <c r="A494" s="288">
        <v>340</v>
      </c>
      <c r="B494" s="348" t="s">
        <v>285</v>
      </c>
      <c r="C494" s="227">
        <v>670</v>
      </c>
      <c r="D494" s="227">
        <f>582+3+3+54</f>
        <v>642</v>
      </c>
      <c r="E494" s="4">
        <f>C494-D494</f>
        <v>28</v>
      </c>
      <c r="F494" s="13">
        <v>6.73</v>
      </c>
      <c r="G494" s="8">
        <f t="shared" si="32"/>
        <v>188.44</v>
      </c>
      <c r="H494" s="85"/>
      <c r="I494" s="3" t="s">
        <v>16</v>
      </c>
    </row>
    <row r="495" spans="1:9" ht="18.75" customHeight="1">
      <c r="A495" s="132">
        <v>341</v>
      </c>
      <c r="B495" s="261" t="s">
        <v>286</v>
      </c>
      <c r="C495" s="107">
        <v>4935</v>
      </c>
      <c r="D495" s="106">
        <f>3652+338+298+248+286+106+6</f>
        <v>4934</v>
      </c>
      <c r="E495" s="4">
        <f>C495-D495</f>
        <v>1</v>
      </c>
      <c r="F495" s="13">
        <v>6.73</v>
      </c>
      <c r="G495" s="8"/>
      <c r="H495" s="85">
        <f>-6.18-0.55-0.62</f>
        <v>-7.35</v>
      </c>
      <c r="I495" s="108"/>
    </row>
    <row r="496" spans="1:9">
      <c r="A496" s="132">
        <v>342</v>
      </c>
      <c r="B496" s="261" t="s">
        <v>287</v>
      </c>
      <c r="C496" s="110">
        <v>31835</v>
      </c>
      <c r="D496" s="109">
        <f>26473+843+495+334+486+199+114+148+2+297+445+956+445+297</f>
        <v>31534</v>
      </c>
      <c r="E496" s="4">
        <f>C496-D496</f>
        <v>301</v>
      </c>
      <c r="F496" s="13">
        <v>6.73</v>
      </c>
      <c r="G496" s="8">
        <f t="shared" si="32"/>
        <v>1992.47</v>
      </c>
      <c r="H496" s="85">
        <f>-11.21-3.96-5.02-1.19-5.15-0.39-5.15-1.19</f>
        <v>-33.26</v>
      </c>
      <c r="I496" s="358"/>
    </row>
    <row r="497" spans="1:9" ht="17.25" customHeight="1">
      <c r="A497" s="132">
        <v>343</v>
      </c>
      <c r="B497" s="261" t="s">
        <v>288</v>
      </c>
      <c r="C497" s="162">
        <v>3742</v>
      </c>
      <c r="D497" s="164">
        <f>2203+107+145+31+449+361+161+48</f>
        <v>3505</v>
      </c>
      <c r="E497" s="4">
        <f>C497-D497</f>
        <v>237</v>
      </c>
      <c r="F497" s="13">
        <v>6.73</v>
      </c>
      <c r="G497" s="8">
        <f>E497*F497+H497</f>
        <v>1588.28</v>
      </c>
      <c r="H497" s="85">
        <v>-6.73</v>
      </c>
      <c r="I497" s="3"/>
    </row>
    <row r="498" spans="1:9" ht="18.75" customHeight="1">
      <c r="A498" s="511">
        <v>344</v>
      </c>
      <c r="B498" s="495" t="s">
        <v>289</v>
      </c>
      <c r="C498" s="481">
        <v>5714</v>
      </c>
      <c r="D498" s="473">
        <f>5380+153</f>
        <v>5533</v>
      </c>
      <c r="E498" s="4"/>
      <c r="F498" s="13">
        <v>5.93</v>
      </c>
      <c r="G498" s="477">
        <f>E498*F498+E499*F499+E500*F500+H498</f>
        <v>1116.77</v>
      </c>
      <c r="H498" s="85"/>
      <c r="I498" s="3"/>
    </row>
    <row r="499" spans="1:9" ht="19.5" customHeight="1">
      <c r="A499" s="511"/>
      <c r="B499" s="529"/>
      <c r="C499" s="521"/>
      <c r="D499" s="484"/>
      <c r="E499" s="4">
        <v>181</v>
      </c>
      <c r="F499" s="13">
        <v>6.17</v>
      </c>
      <c r="G499" s="524"/>
      <c r="H499" s="85"/>
      <c r="I499" s="3"/>
    </row>
    <row r="500" spans="1:9" ht="20.25" customHeight="1">
      <c r="A500" s="511"/>
      <c r="B500" s="496"/>
      <c r="C500" s="482"/>
      <c r="D500" s="474"/>
      <c r="E500" s="4"/>
      <c r="F500" s="13">
        <v>6.73</v>
      </c>
      <c r="G500" s="478"/>
      <c r="H500" s="85"/>
      <c r="I500" s="3"/>
    </row>
    <row r="501" spans="1:9" ht="19.5" customHeight="1">
      <c r="A501" s="511">
        <v>345</v>
      </c>
      <c r="B501" s="495" t="s">
        <v>331</v>
      </c>
      <c r="C501" s="475">
        <v>2258</v>
      </c>
      <c r="D501" s="473">
        <f>1239+243+197+136+35+7+4+16+15</f>
        <v>1892</v>
      </c>
      <c r="E501" s="4">
        <v>-427</v>
      </c>
      <c r="F501" s="13">
        <v>6.17</v>
      </c>
      <c r="G501" s="477">
        <f>E501*F501+E502*F502+H501</f>
        <v>2698.73</v>
      </c>
      <c r="H501" s="85">
        <f>-3.49-0.08</f>
        <v>-3.5700000000000003</v>
      </c>
      <c r="I501" s="3"/>
    </row>
    <row r="502" spans="1:9" ht="17.25" customHeight="1">
      <c r="A502" s="511"/>
      <c r="B502" s="496"/>
      <c r="C502" s="476"/>
      <c r="D502" s="474"/>
      <c r="E502" s="4">
        <f>133+58+398-197+136-136+22+13-35+7-7+4-4+9+7-16+15+-15+401</f>
        <v>793</v>
      </c>
      <c r="F502" s="13">
        <v>6.73</v>
      </c>
      <c r="G502" s="478"/>
      <c r="H502" s="85"/>
      <c r="I502" s="3"/>
    </row>
    <row r="503" spans="1:9" ht="22.5" customHeight="1">
      <c r="A503" s="511">
        <v>346</v>
      </c>
      <c r="B503" s="495" t="s">
        <v>372</v>
      </c>
      <c r="C503" s="475">
        <v>34363</v>
      </c>
      <c r="D503" s="473">
        <f>26312+1011+486+972+218+245+445+445+891+445+297+297+297+297+222+891+445+445</f>
        <v>34661</v>
      </c>
      <c r="E503" s="4">
        <v>-40</v>
      </c>
      <c r="F503" s="13">
        <v>5.93</v>
      </c>
      <c r="G503" s="477"/>
      <c r="H503" s="85">
        <f>-20.15-5.15-3.57-5.15-1.19-1.19-1.19-1.19-5.94-3.57-5.15-5.15</f>
        <v>-58.589999999999982</v>
      </c>
      <c r="I503" s="472"/>
    </row>
    <row r="504" spans="1:9" ht="28.5" customHeight="1">
      <c r="A504" s="511"/>
      <c r="B504" s="496"/>
      <c r="C504" s="476"/>
      <c r="D504" s="474"/>
      <c r="E504" s="4">
        <f>263+506-245+323-445+451-445+355-891+323-445+230-297+284+235-297-297+246-297+306+175+215+360+306-222-891+261-445+198-445+367</f>
        <v>-258</v>
      </c>
      <c r="F504" s="13">
        <v>6.73</v>
      </c>
      <c r="G504" s="478"/>
      <c r="H504" s="85"/>
      <c r="I504" s="472"/>
    </row>
    <row r="505" spans="1:9" ht="21" customHeight="1">
      <c r="A505" s="511">
        <v>347</v>
      </c>
      <c r="B505" s="495" t="s">
        <v>290</v>
      </c>
      <c r="C505" s="481">
        <v>3154</v>
      </c>
      <c r="D505" s="473">
        <f>3075+104</f>
        <v>3179</v>
      </c>
      <c r="E505" s="4">
        <v>-319</v>
      </c>
      <c r="F505" s="13">
        <v>6.17</v>
      </c>
      <c r="G505" s="477"/>
      <c r="H505" s="85">
        <v>-10.39</v>
      </c>
      <c r="I505" s="3"/>
    </row>
    <row r="506" spans="1:9" ht="19.5" customHeight="1">
      <c r="A506" s="511"/>
      <c r="B506" s="496"/>
      <c r="C506" s="482"/>
      <c r="D506" s="474"/>
      <c r="E506" s="4">
        <f>13+199+101+79+6-104</f>
        <v>294</v>
      </c>
      <c r="F506" s="13">
        <v>6.73</v>
      </c>
      <c r="G506" s="478"/>
      <c r="H506" s="85"/>
      <c r="I506" s="3"/>
    </row>
    <row r="507" spans="1:9" ht="21" customHeight="1">
      <c r="A507" s="500">
        <v>348</v>
      </c>
      <c r="B507" s="497" t="s">
        <v>291</v>
      </c>
      <c r="C507" s="481">
        <v>31166</v>
      </c>
      <c r="D507" s="485">
        <f>18100+2461+365+1769+2402+1632+166+740+1250+980</f>
        <v>29865</v>
      </c>
      <c r="E507" s="4">
        <v>-1580</v>
      </c>
      <c r="F507" s="13">
        <v>5.93</v>
      </c>
      <c r="G507" s="477">
        <f>E507*F507+E508*F508+H507</f>
        <v>10013.760000000002</v>
      </c>
      <c r="H507" s="85">
        <f>-5.37-0.6</f>
        <v>-5.97</v>
      </c>
      <c r="I507" s="472" t="s">
        <v>7</v>
      </c>
    </row>
    <row r="508" spans="1:9" ht="19.5" customHeight="1">
      <c r="A508" s="500"/>
      <c r="B508" s="498"/>
      <c r="C508" s="482"/>
      <c r="D508" s="486"/>
      <c r="E508" s="4">
        <f>191+1135-166+622-740+690+279+479-1250+1185-980+359+1077</f>
        <v>2881</v>
      </c>
      <c r="F508" s="13">
        <v>6.73</v>
      </c>
      <c r="G508" s="478"/>
      <c r="H508" s="85"/>
      <c r="I508" s="472"/>
    </row>
    <row r="509" spans="1:9" ht="14.25" customHeight="1">
      <c r="A509" s="511">
        <v>349</v>
      </c>
      <c r="B509" s="495" t="s">
        <v>292</v>
      </c>
      <c r="C509" s="475">
        <v>12227</v>
      </c>
      <c r="D509" s="473">
        <f>8469+657+200+236+467+226+386+436+750+127</f>
        <v>11954</v>
      </c>
      <c r="E509" s="4">
        <v>-5</v>
      </c>
      <c r="F509" s="13">
        <v>6.17</v>
      </c>
      <c r="G509" s="477">
        <f>E509*F509+E510*F510+H509</f>
        <v>1834.9900000000002</v>
      </c>
      <c r="H509" s="85">
        <f>-4.81-0.29</f>
        <v>-5.0999999999999996</v>
      </c>
      <c r="I509" s="3"/>
    </row>
    <row r="510" spans="1:9" ht="15.75" customHeight="1">
      <c r="A510" s="511"/>
      <c r="B510" s="496"/>
      <c r="C510" s="476"/>
      <c r="D510" s="474"/>
      <c r="E510" s="4">
        <f>36+259-386+246-436+422+296+260-750+178-127+58+222</f>
        <v>278</v>
      </c>
      <c r="F510" s="13">
        <v>6.73</v>
      </c>
      <c r="G510" s="478"/>
      <c r="H510" s="85"/>
      <c r="I510" s="3"/>
    </row>
    <row r="511" spans="1:9" ht="19.5" customHeight="1">
      <c r="A511" s="511">
        <v>350</v>
      </c>
      <c r="B511" s="495" t="s">
        <v>293</v>
      </c>
      <c r="C511" s="475">
        <v>6165</v>
      </c>
      <c r="D511" s="473">
        <f>4952+318+180+318+5+371</f>
        <v>6144</v>
      </c>
      <c r="E511" s="4">
        <v>-187</v>
      </c>
      <c r="F511" s="13">
        <v>5.93</v>
      </c>
      <c r="G511" s="477">
        <f>E511*F511+E512*F512+H511</f>
        <v>231.01000000000016</v>
      </c>
      <c r="H511" s="85">
        <v>-12.81</v>
      </c>
      <c r="I511" s="3"/>
    </row>
    <row r="512" spans="1:9" ht="20.25" customHeight="1">
      <c r="A512" s="511"/>
      <c r="B512" s="496"/>
      <c r="C512" s="476"/>
      <c r="D512" s="474"/>
      <c r="E512" s="4">
        <f>9+38+12+2+35-5+69+114+109-371+117+35+15+22</f>
        <v>201</v>
      </c>
      <c r="F512" s="13">
        <v>6.73</v>
      </c>
      <c r="G512" s="478"/>
      <c r="H512" s="85"/>
      <c r="I512" s="3"/>
    </row>
    <row r="513" spans="1:9" ht="27" customHeight="1">
      <c r="A513" s="369">
        <v>351</v>
      </c>
      <c r="B513" s="371" t="s">
        <v>294</v>
      </c>
      <c r="C513" s="372">
        <v>18729</v>
      </c>
      <c r="D513" s="370">
        <f>13163+836+1579+314+825+1485</f>
        <v>18202</v>
      </c>
      <c r="E513" s="4">
        <f>C513-D513</f>
        <v>527</v>
      </c>
      <c r="F513" s="13">
        <v>6.73</v>
      </c>
      <c r="G513" s="8">
        <f>E513*F513+H513</f>
        <v>3534.03</v>
      </c>
      <c r="H513" s="85">
        <v>-12.68</v>
      </c>
      <c r="I513" s="368" t="s">
        <v>7</v>
      </c>
    </row>
    <row r="514" spans="1:9" ht="21" customHeight="1">
      <c r="A514" s="132">
        <v>352</v>
      </c>
      <c r="B514" s="263" t="s">
        <v>373</v>
      </c>
      <c r="C514" s="7">
        <v>4082</v>
      </c>
      <c r="D514" s="5">
        <v>4015</v>
      </c>
      <c r="E514" s="4">
        <f>C514-D514</f>
        <v>67</v>
      </c>
      <c r="F514" s="13">
        <v>5.93</v>
      </c>
      <c r="G514" s="8">
        <f>E514*F514+H514</f>
        <v>397.31</v>
      </c>
      <c r="H514" s="85"/>
      <c r="I514" s="3"/>
    </row>
    <row r="515" spans="1:9" ht="35.1" customHeight="1">
      <c r="A515" s="297"/>
      <c r="B515" s="263" t="s">
        <v>295</v>
      </c>
      <c r="C515" s="4">
        <f>SUM(C4:C514)</f>
        <v>3322169</v>
      </c>
      <c r="D515" s="4">
        <f>SUM(D4:D514)</f>
        <v>3264564</v>
      </c>
      <c r="E515" s="4"/>
      <c r="F515" s="4"/>
      <c r="G515" s="18">
        <f>SUM(G4:G514)</f>
        <v>441636.04999999981</v>
      </c>
      <c r="H515" s="85"/>
      <c r="I515" s="23"/>
    </row>
    <row r="516" spans="1:9">
      <c r="A516" s="9"/>
      <c r="B516" s="11"/>
      <c r="C516" s="19"/>
      <c r="D516" s="19"/>
      <c r="E516" s="19"/>
      <c r="F516" s="20"/>
      <c r="G516" s="21"/>
      <c r="I516" s="23"/>
    </row>
    <row r="517" spans="1:9">
      <c r="A517" s="9"/>
      <c r="B517" s="11"/>
      <c r="C517" s="19"/>
      <c r="D517" s="19"/>
      <c r="E517" s="19"/>
      <c r="F517" s="20"/>
      <c r="G517" s="21"/>
      <c r="I517" s="23"/>
    </row>
  </sheetData>
  <mergeCells count="816">
    <mergeCell ref="G294:G295"/>
    <mergeCell ref="A294:A295"/>
    <mergeCell ref="B294:B295"/>
    <mergeCell ref="C294:C295"/>
    <mergeCell ref="D294:D295"/>
    <mergeCell ref="A53:A54"/>
    <mergeCell ref="B53:B54"/>
    <mergeCell ref="C53:C54"/>
    <mergeCell ref="D53:D54"/>
    <mergeCell ref="C78:C80"/>
    <mergeCell ref="D78:D80"/>
    <mergeCell ref="G78:G80"/>
    <mergeCell ref="B72:B74"/>
    <mergeCell ref="C69:C71"/>
    <mergeCell ref="A60:A61"/>
    <mergeCell ref="A69:A71"/>
    <mergeCell ref="B69:B71"/>
    <mergeCell ref="B94:B95"/>
    <mergeCell ref="I13:I14"/>
    <mergeCell ref="I67:I68"/>
    <mergeCell ref="I401:I402"/>
    <mergeCell ref="I447:I448"/>
    <mergeCell ref="B116:B117"/>
    <mergeCell ref="A116:A117"/>
    <mergeCell ref="A250:A251"/>
    <mergeCell ref="B250:B251"/>
    <mergeCell ref="C250:C251"/>
    <mergeCell ref="D250:D251"/>
    <mergeCell ref="G250:G251"/>
    <mergeCell ref="D119:D120"/>
    <mergeCell ref="C119:C120"/>
    <mergeCell ref="B119:B120"/>
    <mergeCell ref="A119:A120"/>
    <mergeCell ref="G119:G120"/>
    <mergeCell ref="A128:A129"/>
    <mergeCell ref="G447:G448"/>
    <mergeCell ref="D447:D448"/>
    <mergeCell ref="C303:G303"/>
    <mergeCell ref="G438:G439"/>
    <mergeCell ref="D438:D439"/>
    <mergeCell ref="C438:C439"/>
    <mergeCell ref="B438:B439"/>
    <mergeCell ref="D463:D464"/>
    <mergeCell ref="C463:C464"/>
    <mergeCell ref="B463:B464"/>
    <mergeCell ref="G454:G455"/>
    <mergeCell ref="D454:D455"/>
    <mergeCell ref="C454:C455"/>
    <mergeCell ref="B454:B455"/>
    <mergeCell ref="G475:G476"/>
    <mergeCell ref="D475:D476"/>
    <mergeCell ref="C309:H309"/>
    <mergeCell ref="B482:B483"/>
    <mergeCell ref="G468:G469"/>
    <mergeCell ref="G491:G492"/>
    <mergeCell ref="D491:D492"/>
    <mergeCell ref="C491:C492"/>
    <mergeCell ref="C447:C448"/>
    <mergeCell ref="G511:G512"/>
    <mergeCell ref="D511:D512"/>
    <mergeCell ref="C511:C512"/>
    <mergeCell ref="B511:B512"/>
    <mergeCell ref="B447:B448"/>
    <mergeCell ref="G473:G474"/>
    <mergeCell ref="G480:G481"/>
    <mergeCell ref="D480:D481"/>
    <mergeCell ref="D473:D474"/>
    <mergeCell ref="G460:G461"/>
    <mergeCell ref="D460:D461"/>
    <mergeCell ref="G463:G464"/>
    <mergeCell ref="G458:G459"/>
    <mergeCell ref="D458:D459"/>
    <mergeCell ref="G471:G472"/>
    <mergeCell ref="D471:D472"/>
    <mergeCell ref="D468:D469"/>
    <mergeCell ref="A511:A512"/>
    <mergeCell ref="D503:D504"/>
    <mergeCell ref="C503:C504"/>
    <mergeCell ref="B503:B504"/>
    <mergeCell ref="A503:A504"/>
    <mergeCell ref="B505:B506"/>
    <mergeCell ref="A505:A506"/>
    <mergeCell ref="G507:G508"/>
    <mergeCell ref="D507:D508"/>
    <mergeCell ref="B507:B508"/>
    <mergeCell ref="A507:A508"/>
    <mergeCell ref="C507:C508"/>
    <mergeCell ref="G503:G504"/>
    <mergeCell ref="G509:G510"/>
    <mergeCell ref="D509:D510"/>
    <mergeCell ref="C509:C510"/>
    <mergeCell ref="B509:B510"/>
    <mergeCell ref="A509:A510"/>
    <mergeCell ref="G505:G506"/>
    <mergeCell ref="D505:D506"/>
    <mergeCell ref="C505:C506"/>
    <mergeCell ref="A489:A490"/>
    <mergeCell ref="D501:D502"/>
    <mergeCell ref="C501:C502"/>
    <mergeCell ref="B491:B492"/>
    <mergeCell ref="A491:A492"/>
    <mergeCell ref="D482:D483"/>
    <mergeCell ref="C482:C483"/>
    <mergeCell ref="G498:G500"/>
    <mergeCell ref="D498:D500"/>
    <mergeCell ref="C498:C500"/>
    <mergeCell ref="B498:B500"/>
    <mergeCell ref="A498:A500"/>
    <mergeCell ref="G482:G483"/>
    <mergeCell ref="G489:G490"/>
    <mergeCell ref="D489:D490"/>
    <mergeCell ref="A482:A483"/>
    <mergeCell ref="G501:G502"/>
    <mergeCell ref="B501:B502"/>
    <mergeCell ref="A501:A502"/>
    <mergeCell ref="C489:C490"/>
    <mergeCell ref="B489:B490"/>
    <mergeCell ref="A447:A448"/>
    <mergeCell ref="C480:C481"/>
    <mergeCell ref="B480:B481"/>
    <mergeCell ref="A480:A481"/>
    <mergeCell ref="A471:A472"/>
    <mergeCell ref="C471:C472"/>
    <mergeCell ref="B471:B472"/>
    <mergeCell ref="A463:A464"/>
    <mergeCell ref="C475:C476"/>
    <mergeCell ref="B475:B476"/>
    <mergeCell ref="A475:A476"/>
    <mergeCell ref="C473:C474"/>
    <mergeCell ref="B473:B474"/>
    <mergeCell ref="A473:A474"/>
    <mergeCell ref="A468:A469"/>
    <mergeCell ref="A454:A455"/>
    <mergeCell ref="C460:C461"/>
    <mergeCell ref="B460:B461"/>
    <mergeCell ref="A460:A461"/>
    <mergeCell ref="C458:C459"/>
    <mergeCell ref="B458:B459"/>
    <mergeCell ref="A458:A459"/>
    <mergeCell ref="C468:C469"/>
    <mergeCell ref="B468:B469"/>
    <mergeCell ref="B430:B431"/>
    <mergeCell ref="A430:A431"/>
    <mergeCell ref="G442:G443"/>
    <mergeCell ref="D442:D443"/>
    <mergeCell ref="C442:C443"/>
    <mergeCell ref="B442:B443"/>
    <mergeCell ref="A442:A443"/>
    <mergeCell ref="G436:G437"/>
    <mergeCell ref="D436:D437"/>
    <mergeCell ref="C436:C437"/>
    <mergeCell ref="B436:B437"/>
    <mergeCell ref="A436:A437"/>
    <mergeCell ref="A438:A439"/>
    <mergeCell ref="G440:G441"/>
    <mergeCell ref="D440:D441"/>
    <mergeCell ref="C440:C441"/>
    <mergeCell ref="B440:B441"/>
    <mergeCell ref="C430:G431"/>
    <mergeCell ref="A440:A441"/>
    <mergeCell ref="C432:G432"/>
    <mergeCell ref="G423:G424"/>
    <mergeCell ref="D423:D424"/>
    <mergeCell ref="C423:C424"/>
    <mergeCell ref="B423:B424"/>
    <mergeCell ref="A423:A424"/>
    <mergeCell ref="G425:G426"/>
    <mergeCell ref="D425:D426"/>
    <mergeCell ref="C425:C426"/>
    <mergeCell ref="B425:B426"/>
    <mergeCell ref="A425:A426"/>
    <mergeCell ref="G419:G420"/>
    <mergeCell ref="D419:D420"/>
    <mergeCell ref="C419:C420"/>
    <mergeCell ref="B419:B420"/>
    <mergeCell ref="A419:A420"/>
    <mergeCell ref="G421:G422"/>
    <mergeCell ref="D421:D422"/>
    <mergeCell ref="C421:C422"/>
    <mergeCell ref="B421:B422"/>
    <mergeCell ref="A421:A422"/>
    <mergeCell ref="G416:G417"/>
    <mergeCell ref="D416:D417"/>
    <mergeCell ref="C416:C417"/>
    <mergeCell ref="B416:B417"/>
    <mergeCell ref="A416:A417"/>
    <mergeCell ref="G401:G402"/>
    <mergeCell ref="D401:D402"/>
    <mergeCell ref="C401:C402"/>
    <mergeCell ref="B401:B402"/>
    <mergeCell ref="A401:A402"/>
    <mergeCell ref="G408:G409"/>
    <mergeCell ref="D408:D409"/>
    <mergeCell ref="C408:C409"/>
    <mergeCell ref="B408:B409"/>
    <mergeCell ref="A408:A409"/>
    <mergeCell ref="G395:G396"/>
    <mergeCell ref="D395:D396"/>
    <mergeCell ref="C395:C396"/>
    <mergeCell ref="B395:B396"/>
    <mergeCell ref="A395:A396"/>
    <mergeCell ref="G399:G400"/>
    <mergeCell ref="D399:D400"/>
    <mergeCell ref="C399:C400"/>
    <mergeCell ref="B399:B400"/>
    <mergeCell ref="A399:A400"/>
    <mergeCell ref="G388:G389"/>
    <mergeCell ref="D388:D389"/>
    <mergeCell ref="C388:C389"/>
    <mergeCell ref="B388:B389"/>
    <mergeCell ref="A388:A389"/>
    <mergeCell ref="G390:G391"/>
    <mergeCell ref="D390:D391"/>
    <mergeCell ref="C390:C391"/>
    <mergeCell ref="B390:B391"/>
    <mergeCell ref="A390:A391"/>
    <mergeCell ref="A371:A373"/>
    <mergeCell ref="C371:C373"/>
    <mergeCell ref="D371:D373"/>
    <mergeCell ref="C386:C387"/>
    <mergeCell ref="B386:B387"/>
    <mergeCell ref="A386:A387"/>
    <mergeCell ref="G381:G382"/>
    <mergeCell ref="D381:D382"/>
    <mergeCell ref="C381:C382"/>
    <mergeCell ref="B381:B382"/>
    <mergeCell ref="A381:A382"/>
    <mergeCell ref="G384:G385"/>
    <mergeCell ref="D384:D385"/>
    <mergeCell ref="C384:C385"/>
    <mergeCell ref="B384:B385"/>
    <mergeCell ref="A384:A385"/>
    <mergeCell ref="G386:G387"/>
    <mergeCell ref="D386:D387"/>
    <mergeCell ref="G371:G373"/>
    <mergeCell ref="B371:B373"/>
    <mergeCell ref="G367:G368"/>
    <mergeCell ref="D367:D368"/>
    <mergeCell ref="C367:C368"/>
    <mergeCell ref="B367:B368"/>
    <mergeCell ref="A367:A368"/>
    <mergeCell ref="D340:D341"/>
    <mergeCell ref="C340:C341"/>
    <mergeCell ref="B340:B341"/>
    <mergeCell ref="A340:A341"/>
    <mergeCell ref="G352:G353"/>
    <mergeCell ref="D352:D353"/>
    <mergeCell ref="C352:C353"/>
    <mergeCell ref="B352:B353"/>
    <mergeCell ref="A352:A353"/>
    <mergeCell ref="G349:G350"/>
    <mergeCell ref="D349:D350"/>
    <mergeCell ref="C349:C350"/>
    <mergeCell ref="B349:B350"/>
    <mergeCell ref="A349:A350"/>
    <mergeCell ref="G355:G357"/>
    <mergeCell ref="D355:D357"/>
    <mergeCell ref="C355:C357"/>
    <mergeCell ref="B355:B357"/>
    <mergeCell ref="A355:A357"/>
    <mergeCell ref="G347:G348"/>
    <mergeCell ref="D347:D348"/>
    <mergeCell ref="C347:C348"/>
    <mergeCell ref="B347:B348"/>
    <mergeCell ref="A347:A348"/>
    <mergeCell ref="G332:G333"/>
    <mergeCell ref="D332:D333"/>
    <mergeCell ref="C332:C333"/>
    <mergeCell ref="B332:B333"/>
    <mergeCell ref="A332:A333"/>
    <mergeCell ref="G343:G344"/>
    <mergeCell ref="D343:D344"/>
    <mergeCell ref="C343:C344"/>
    <mergeCell ref="B343:B344"/>
    <mergeCell ref="A343:A344"/>
    <mergeCell ref="G338:G339"/>
    <mergeCell ref="D338:D339"/>
    <mergeCell ref="C338:C339"/>
    <mergeCell ref="A338:A339"/>
    <mergeCell ref="B338:B339"/>
    <mergeCell ref="G340:G341"/>
    <mergeCell ref="G330:G331"/>
    <mergeCell ref="D330:D331"/>
    <mergeCell ref="C330:C331"/>
    <mergeCell ref="B330:B331"/>
    <mergeCell ref="A330:A331"/>
    <mergeCell ref="G324:G325"/>
    <mergeCell ref="D324:D325"/>
    <mergeCell ref="C324:C325"/>
    <mergeCell ref="B324:B325"/>
    <mergeCell ref="A324:A325"/>
    <mergeCell ref="G327:G328"/>
    <mergeCell ref="C327:C328"/>
    <mergeCell ref="D327:D328"/>
    <mergeCell ref="B327:B328"/>
    <mergeCell ref="A327:A328"/>
    <mergeCell ref="G311:G312"/>
    <mergeCell ref="C311:C312"/>
    <mergeCell ref="D311:D312"/>
    <mergeCell ref="B311:B312"/>
    <mergeCell ref="A311:A312"/>
    <mergeCell ref="H311:H312"/>
    <mergeCell ref="G318:G319"/>
    <mergeCell ref="H318:H319"/>
    <mergeCell ref="D318:D319"/>
    <mergeCell ref="C318:C319"/>
    <mergeCell ref="B318:B319"/>
    <mergeCell ref="A318:A319"/>
    <mergeCell ref="C300:C301"/>
    <mergeCell ref="B300:B301"/>
    <mergeCell ref="A300:A301"/>
    <mergeCell ref="B290:B291"/>
    <mergeCell ref="A290:A291"/>
    <mergeCell ref="D286:D287"/>
    <mergeCell ref="C286:C287"/>
    <mergeCell ref="B286:B287"/>
    <mergeCell ref="A286:A287"/>
    <mergeCell ref="H286:H287"/>
    <mergeCell ref="G288:G289"/>
    <mergeCell ref="H305:H306"/>
    <mergeCell ref="G300:G301"/>
    <mergeCell ref="G305:G306"/>
    <mergeCell ref="D305:D306"/>
    <mergeCell ref="C305:C306"/>
    <mergeCell ref="B305:B306"/>
    <mergeCell ref="A305:A306"/>
    <mergeCell ref="G296:G297"/>
    <mergeCell ref="D296:D297"/>
    <mergeCell ref="C296:C297"/>
    <mergeCell ref="B296:B297"/>
    <mergeCell ref="A296:A297"/>
    <mergeCell ref="H288:H289"/>
    <mergeCell ref="C288:C289"/>
    <mergeCell ref="D288:D289"/>
    <mergeCell ref="B288:B289"/>
    <mergeCell ref="A288:A289"/>
    <mergeCell ref="G290:G291"/>
    <mergeCell ref="D290:D291"/>
    <mergeCell ref="C290:C291"/>
    <mergeCell ref="G286:G287"/>
    <mergeCell ref="D300:D301"/>
    <mergeCell ref="H13:H14"/>
    <mergeCell ref="A1:H1"/>
    <mergeCell ref="H2:H3"/>
    <mergeCell ref="A2:A3"/>
    <mergeCell ref="B2:B3"/>
    <mergeCell ref="C2:D2"/>
    <mergeCell ref="E2:E3"/>
    <mergeCell ref="F2:F3"/>
    <mergeCell ref="G2:G3"/>
    <mergeCell ref="B13:B14"/>
    <mergeCell ref="A13:A14"/>
    <mergeCell ref="C13:C14"/>
    <mergeCell ref="D13:D14"/>
    <mergeCell ref="H7:H8"/>
    <mergeCell ref="A7:A8"/>
    <mergeCell ref="C7:C8"/>
    <mergeCell ref="D7:D8"/>
    <mergeCell ref="A11:A12"/>
    <mergeCell ref="B7:B8"/>
    <mergeCell ref="G7:G8"/>
    <mergeCell ref="G13:G14"/>
    <mergeCell ref="C11:C12"/>
    <mergeCell ref="D11:D12"/>
    <mergeCell ref="G11:G12"/>
    <mergeCell ref="G15:G16"/>
    <mergeCell ref="C21:G21"/>
    <mergeCell ref="B11:B12"/>
    <mergeCell ref="C15:C16"/>
    <mergeCell ref="D15:D16"/>
    <mergeCell ref="H53:H54"/>
    <mergeCell ref="A29:A31"/>
    <mergeCell ref="B29:B31"/>
    <mergeCell ref="G17:G19"/>
    <mergeCell ref="B17:B19"/>
    <mergeCell ref="C17:C19"/>
    <mergeCell ref="D17:D19"/>
    <mergeCell ref="C36:C37"/>
    <mergeCell ref="D36:D37"/>
    <mergeCell ref="G36:G37"/>
    <mergeCell ref="C29:C31"/>
    <mergeCell ref="A17:A19"/>
    <mergeCell ref="G23:G25"/>
    <mergeCell ref="D23:D25"/>
    <mergeCell ref="C23:C25"/>
    <mergeCell ref="B23:B25"/>
    <mergeCell ref="H17:H19"/>
    <mergeCell ref="B39:B40"/>
    <mergeCell ref="A39:A40"/>
    <mergeCell ref="C39:C40"/>
    <mergeCell ref="D39:D40"/>
    <mergeCell ref="A46:A47"/>
    <mergeCell ref="B46:B47"/>
    <mergeCell ref="H42:H43"/>
    <mergeCell ref="G29:G31"/>
    <mergeCell ref="H29:H31"/>
    <mergeCell ref="A34:A35"/>
    <mergeCell ref="H15:H16"/>
    <mergeCell ref="A23:A25"/>
    <mergeCell ref="D29:D31"/>
    <mergeCell ref="B34:B35"/>
    <mergeCell ref="C34:C35"/>
    <mergeCell ref="D34:D35"/>
    <mergeCell ref="G34:G35"/>
    <mergeCell ref="G39:G40"/>
    <mergeCell ref="A15:A16"/>
    <mergeCell ref="B15:B16"/>
    <mergeCell ref="D67:D68"/>
    <mergeCell ref="C67:C68"/>
    <mergeCell ref="B67:B68"/>
    <mergeCell ref="A64:A65"/>
    <mergeCell ref="A67:A68"/>
    <mergeCell ref="G67:G68"/>
    <mergeCell ref="D42:D43"/>
    <mergeCell ref="G42:G43"/>
    <mergeCell ref="G53:G54"/>
    <mergeCell ref="A78:A80"/>
    <mergeCell ref="B78:B80"/>
    <mergeCell ref="A72:A74"/>
    <mergeCell ref="G72:G74"/>
    <mergeCell ref="H72:H74"/>
    <mergeCell ref="D72:D74"/>
    <mergeCell ref="C72:C74"/>
    <mergeCell ref="H34:H35"/>
    <mergeCell ref="A36:A37"/>
    <mergeCell ref="B36:B37"/>
    <mergeCell ref="H36:H37"/>
    <mergeCell ref="A42:A43"/>
    <mergeCell ref="B42:B43"/>
    <mergeCell ref="C42:C43"/>
    <mergeCell ref="C46:C47"/>
    <mergeCell ref="A51:A52"/>
    <mergeCell ref="B51:B52"/>
    <mergeCell ref="C51:C52"/>
    <mergeCell ref="D51:D52"/>
    <mergeCell ref="G51:G52"/>
    <mergeCell ref="H51:H52"/>
    <mergeCell ref="D46:D47"/>
    <mergeCell ref="H46:H47"/>
    <mergeCell ref="G46:G47"/>
    <mergeCell ref="A76:A77"/>
    <mergeCell ref="B76:B77"/>
    <mergeCell ref="C76:C77"/>
    <mergeCell ref="D76:D77"/>
    <mergeCell ref="G55:G57"/>
    <mergeCell ref="H55:H57"/>
    <mergeCell ref="A55:A57"/>
    <mergeCell ref="B55:B57"/>
    <mergeCell ref="C55:C57"/>
    <mergeCell ref="D55:D57"/>
    <mergeCell ref="G60:G61"/>
    <mergeCell ref="D60:D61"/>
    <mergeCell ref="C60:C61"/>
    <mergeCell ref="B60:B61"/>
    <mergeCell ref="D69:D71"/>
    <mergeCell ref="G76:G77"/>
    <mergeCell ref="H67:H68"/>
    <mergeCell ref="H60:H61"/>
    <mergeCell ref="G58:G59"/>
    <mergeCell ref="D58:D59"/>
    <mergeCell ref="C58:C59"/>
    <mergeCell ref="B58:B59"/>
    <mergeCell ref="A58:A59"/>
    <mergeCell ref="B64:B65"/>
    <mergeCell ref="C64:C65"/>
    <mergeCell ref="D64:D65"/>
    <mergeCell ref="G64:G65"/>
    <mergeCell ref="H64:H65"/>
    <mergeCell ref="H69:H71"/>
    <mergeCell ref="G69:G71"/>
    <mergeCell ref="G92:G93"/>
    <mergeCell ref="D92:D93"/>
    <mergeCell ref="C92:C93"/>
    <mergeCell ref="G94:G95"/>
    <mergeCell ref="H94:H95"/>
    <mergeCell ref="D94:D95"/>
    <mergeCell ref="C94:C95"/>
    <mergeCell ref="H78:H80"/>
    <mergeCell ref="A94:A95"/>
    <mergeCell ref="B92:B93"/>
    <mergeCell ref="A92:A93"/>
    <mergeCell ref="H92:H93"/>
    <mergeCell ref="A98:A99"/>
    <mergeCell ref="H98:H99"/>
    <mergeCell ref="H100:H101"/>
    <mergeCell ref="D100:D101"/>
    <mergeCell ref="C100:C101"/>
    <mergeCell ref="B100:B101"/>
    <mergeCell ref="A100:A101"/>
    <mergeCell ref="G100:G101"/>
    <mergeCell ref="A83:A84"/>
    <mergeCell ref="G86:G88"/>
    <mergeCell ref="A86:A88"/>
    <mergeCell ref="B86:B88"/>
    <mergeCell ref="C86:C88"/>
    <mergeCell ref="D86:D88"/>
    <mergeCell ref="H86:H88"/>
    <mergeCell ref="G89:G91"/>
    <mergeCell ref="B89:B91"/>
    <mergeCell ref="C89:C91"/>
    <mergeCell ref="D89:D91"/>
    <mergeCell ref="A89:A91"/>
    <mergeCell ref="G83:G84"/>
    <mergeCell ref="C83:C84"/>
    <mergeCell ref="D83:D84"/>
    <mergeCell ref="B83:B84"/>
    <mergeCell ref="D110:D111"/>
    <mergeCell ref="B110:B111"/>
    <mergeCell ref="G116:G117"/>
    <mergeCell ref="D116:D117"/>
    <mergeCell ref="C116:C117"/>
    <mergeCell ref="G98:G99"/>
    <mergeCell ref="D98:D99"/>
    <mergeCell ref="C98:C99"/>
    <mergeCell ref="B98:B99"/>
    <mergeCell ref="C122:C124"/>
    <mergeCell ref="D122:D124"/>
    <mergeCell ref="B122:B124"/>
    <mergeCell ref="A122:A124"/>
    <mergeCell ref="G122:G124"/>
    <mergeCell ref="A110:A111"/>
    <mergeCell ref="H110:H111"/>
    <mergeCell ref="G103:G105"/>
    <mergeCell ref="D103:D105"/>
    <mergeCell ref="C103:C105"/>
    <mergeCell ref="B103:B105"/>
    <mergeCell ref="A103:A105"/>
    <mergeCell ref="H103:H105"/>
    <mergeCell ref="H119:H120"/>
    <mergeCell ref="C112:H112"/>
    <mergeCell ref="C113:H113"/>
    <mergeCell ref="G106:G107"/>
    <mergeCell ref="D106:D107"/>
    <mergeCell ref="C106:C107"/>
    <mergeCell ref="B106:B107"/>
    <mergeCell ref="A106:A107"/>
    <mergeCell ref="H106:H107"/>
    <mergeCell ref="G110:G111"/>
    <mergeCell ref="C110:C111"/>
    <mergeCell ref="C131:C132"/>
    <mergeCell ref="B131:B132"/>
    <mergeCell ref="A131:A132"/>
    <mergeCell ref="G131:G132"/>
    <mergeCell ref="H131:H132"/>
    <mergeCell ref="G128:G129"/>
    <mergeCell ref="H128:H129"/>
    <mergeCell ref="D128:D129"/>
    <mergeCell ref="C128:C129"/>
    <mergeCell ref="B128:B129"/>
    <mergeCell ref="B139:B140"/>
    <mergeCell ref="A139:A140"/>
    <mergeCell ref="G139:G140"/>
    <mergeCell ref="D139:D140"/>
    <mergeCell ref="H135:H136"/>
    <mergeCell ref="D135:D136"/>
    <mergeCell ref="C135:C136"/>
    <mergeCell ref="B135:B136"/>
    <mergeCell ref="A135:A136"/>
    <mergeCell ref="G137:G138"/>
    <mergeCell ref="H137:H138"/>
    <mergeCell ref="A137:A138"/>
    <mergeCell ref="B137:B138"/>
    <mergeCell ref="C137:C138"/>
    <mergeCell ref="D137:D138"/>
    <mergeCell ref="G135:G136"/>
    <mergeCell ref="B142:B143"/>
    <mergeCell ref="A142:A143"/>
    <mergeCell ref="G142:G143"/>
    <mergeCell ref="H142:H143"/>
    <mergeCell ref="G144:G145"/>
    <mergeCell ref="H144:H145"/>
    <mergeCell ref="D144:D145"/>
    <mergeCell ref="C144:C145"/>
    <mergeCell ref="B144:B145"/>
    <mergeCell ref="A144:A145"/>
    <mergeCell ref="A157:A158"/>
    <mergeCell ref="G157:G158"/>
    <mergeCell ref="H153:H154"/>
    <mergeCell ref="A153:A154"/>
    <mergeCell ref="B153:B154"/>
    <mergeCell ref="C153:C154"/>
    <mergeCell ref="D153:D154"/>
    <mergeCell ref="G153:G154"/>
    <mergeCell ref="H147:H149"/>
    <mergeCell ref="G150:G151"/>
    <mergeCell ref="H150:H151"/>
    <mergeCell ref="D150:D151"/>
    <mergeCell ref="C150:C151"/>
    <mergeCell ref="B150:B151"/>
    <mergeCell ref="A150:A151"/>
    <mergeCell ref="A147:A149"/>
    <mergeCell ref="G147:G149"/>
    <mergeCell ref="D147:D149"/>
    <mergeCell ref="C147:C149"/>
    <mergeCell ref="B147:B149"/>
    <mergeCell ref="G182:G183"/>
    <mergeCell ref="H182:H183"/>
    <mergeCell ref="A182:A183"/>
    <mergeCell ref="G173:G174"/>
    <mergeCell ref="H173:H174"/>
    <mergeCell ref="D173:D174"/>
    <mergeCell ref="C173:C174"/>
    <mergeCell ref="B173:B174"/>
    <mergeCell ref="A173:A174"/>
    <mergeCell ref="B163:B164"/>
    <mergeCell ref="A163:A164"/>
    <mergeCell ref="G165:G166"/>
    <mergeCell ref="H165:H166"/>
    <mergeCell ref="D165:D166"/>
    <mergeCell ref="C165:C166"/>
    <mergeCell ref="B165:B166"/>
    <mergeCell ref="A165:A166"/>
    <mergeCell ref="B178:B180"/>
    <mergeCell ref="A178:A180"/>
    <mergeCell ref="G178:G180"/>
    <mergeCell ref="H178:H180"/>
    <mergeCell ref="A161:A162"/>
    <mergeCell ref="G161:G162"/>
    <mergeCell ref="H161:H162"/>
    <mergeCell ref="B197:B198"/>
    <mergeCell ref="H195:H196"/>
    <mergeCell ref="D195:D196"/>
    <mergeCell ref="C195:C196"/>
    <mergeCell ref="B195:B196"/>
    <mergeCell ref="A195:A196"/>
    <mergeCell ref="G186:G188"/>
    <mergeCell ref="A186:A188"/>
    <mergeCell ref="B186:B188"/>
    <mergeCell ref="C186:C188"/>
    <mergeCell ref="D186:D188"/>
    <mergeCell ref="B189:B190"/>
    <mergeCell ref="A189:A190"/>
    <mergeCell ref="G191:G192"/>
    <mergeCell ref="H191:H192"/>
    <mergeCell ref="D191:D192"/>
    <mergeCell ref="C191:C192"/>
    <mergeCell ref="B191:B192"/>
    <mergeCell ref="D182:D183"/>
    <mergeCell ref="C182:C183"/>
    <mergeCell ref="B182:B183"/>
    <mergeCell ref="A191:A192"/>
    <mergeCell ref="G193:G194"/>
    <mergeCell ref="H193:H194"/>
    <mergeCell ref="D193:D194"/>
    <mergeCell ref="C193:C194"/>
    <mergeCell ref="A193:A194"/>
    <mergeCell ref="B193:B194"/>
    <mergeCell ref="A184:A185"/>
    <mergeCell ref="B208:B209"/>
    <mergeCell ref="D205:D206"/>
    <mergeCell ref="C205:C206"/>
    <mergeCell ref="B205:B206"/>
    <mergeCell ref="A208:A209"/>
    <mergeCell ref="G197:G198"/>
    <mergeCell ref="H197:H198"/>
    <mergeCell ref="A197:A198"/>
    <mergeCell ref="C201:H201"/>
    <mergeCell ref="A213:A214"/>
    <mergeCell ref="C215:C216"/>
    <mergeCell ref="A217:A218"/>
    <mergeCell ref="G203:G204"/>
    <mergeCell ref="D203:D204"/>
    <mergeCell ref="C203:C204"/>
    <mergeCell ref="B203:B204"/>
    <mergeCell ref="A203:A204"/>
    <mergeCell ref="H203:H204"/>
    <mergeCell ref="A205:A206"/>
    <mergeCell ref="G205:G206"/>
    <mergeCell ref="H205:H206"/>
    <mergeCell ref="G208:G209"/>
    <mergeCell ref="H208:H209"/>
    <mergeCell ref="H215:H216"/>
    <mergeCell ref="H217:H218"/>
    <mergeCell ref="B217:B218"/>
    <mergeCell ref="C217:C218"/>
    <mergeCell ref="D217:D218"/>
    <mergeCell ref="D213:D214"/>
    <mergeCell ref="C213:C214"/>
    <mergeCell ref="B213:B214"/>
    <mergeCell ref="A215:A216"/>
    <mergeCell ref="G215:G216"/>
    <mergeCell ref="G217:G218"/>
    <mergeCell ref="G277:G278"/>
    <mergeCell ref="H277:H278"/>
    <mergeCell ref="D277:D278"/>
    <mergeCell ref="C277:C278"/>
    <mergeCell ref="B277:B278"/>
    <mergeCell ref="A277:A278"/>
    <mergeCell ref="G271:G272"/>
    <mergeCell ref="H271:H272"/>
    <mergeCell ref="D271:D272"/>
    <mergeCell ref="C271:C272"/>
    <mergeCell ref="B271:B272"/>
    <mergeCell ref="A271:A272"/>
    <mergeCell ref="G273:G274"/>
    <mergeCell ref="H273:H274"/>
    <mergeCell ref="D273:D274"/>
    <mergeCell ref="C273:C274"/>
    <mergeCell ref="C259:H259"/>
    <mergeCell ref="A273:A274"/>
    <mergeCell ref="G269:G270"/>
    <mergeCell ref="H225:H226"/>
    <mergeCell ref="A256:A257"/>
    <mergeCell ref="G256:G257"/>
    <mergeCell ref="D256:D257"/>
    <mergeCell ref="C256:C257"/>
    <mergeCell ref="G234:G235"/>
    <mergeCell ref="A234:A235"/>
    <mergeCell ref="H269:H270"/>
    <mergeCell ref="C269:C270"/>
    <mergeCell ref="B264:H264"/>
    <mergeCell ref="G260:G261"/>
    <mergeCell ref="H260:H261"/>
    <mergeCell ref="D260:D261"/>
    <mergeCell ref="C260:C261"/>
    <mergeCell ref="B260:B261"/>
    <mergeCell ref="A260:A261"/>
    <mergeCell ref="D269:D270"/>
    <mergeCell ref="B269:B270"/>
    <mergeCell ref="A269:A270"/>
    <mergeCell ref="C267:G267"/>
    <mergeCell ref="C266:G266"/>
    <mergeCell ref="A254:A255"/>
    <mergeCell ref="H243:H244"/>
    <mergeCell ref="A243:A244"/>
    <mergeCell ref="C243:C244"/>
    <mergeCell ref="A239:A240"/>
    <mergeCell ref="H234:H235"/>
    <mergeCell ref="A236:A237"/>
    <mergeCell ref="H239:H240"/>
    <mergeCell ref="G221:G222"/>
    <mergeCell ref="D221:D222"/>
    <mergeCell ref="C221:C222"/>
    <mergeCell ref="B221:B222"/>
    <mergeCell ref="G243:G244"/>
    <mergeCell ref="D243:D244"/>
    <mergeCell ref="B243:B244"/>
    <mergeCell ref="C239:C240"/>
    <mergeCell ref="B236:B237"/>
    <mergeCell ref="G239:G240"/>
    <mergeCell ref="D239:D240"/>
    <mergeCell ref="D225:D226"/>
    <mergeCell ref="C225:C226"/>
    <mergeCell ref="B225:B226"/>
    <mergeCell ref="B157:B158"/>
    <mergeCell ref="A225:A226"/>
    <mergeCell ref="D234:D235"/>
    <mergeCell ref="A221:A222"/>
    <mergeCell ref="G225:G226"/>
    <mergeCell ref="I11:I12"/>
    <mergeCell ref="I234:I235"/>
    <mergeCell ref="I300:I301"/>
    <mergeCell ref="I324:I325"/>
    <mergeCell ref="G236:G237"/>
    <mergeCell ref="B256:B257"/>
    <mergeCell ref="C242:H242"/>
    <mergeCell ref="G254:G255"/>
    <mergeCell ref="H254:H255"/>
    <mergeCell ref="D254:D255"/>
    <mergeCell ref="C249:H249"/>
    <mergeCell ref="B239:B240"/>
    <mergeCell ref="C234:C235"/>
    <mergeCell ref="B234:B235"/>
    <mergeCell ref="H236:H237"/>
    <mergeCell ref="D236:D237"/>
    <mergeCell ref="C236:C237"/>
    <mergeCell ref="C254:C255"/>
    <mergeCell ref="B254:B255"/>
    <mergeCell ref="C163:C164"/>
    <mergeCell ref="B273:B274"/>
    <mergeCell ref="D215:D216"/>
    <mergeCell ref="C82:G82"/>
    <mergeCell ref="I503:I504"/>
    <mergeCell ref="I347:I348"/>
    <mergeCell ref="I355:I356"/>
    <mergeCell ref="I473:I474"/>
    <mergeCell ref="I507:I508"/>
    <mergeCell ref="I92:I93"/>
    <mergeCell ref="I94:I95"/>
    <mergeCell ref="H221:H222"/>
    <mergeCell ref="B215:B216"/>
    <mergeCell ref="H213:H214"/>
    <mergeCell ref="G213:G214"/>
    <mergeCell ref="C161:C162"/>
    <mergeCell ref="D161:D162"/>
    <mergeCell ref="B161:B162"/>
    <mergeCell ref="G184:G185"/>
    <mergeCell ref="H184:H185"/>
    <mergeCell ref="D184:D185"/>
    <mergeCell ref="C184:C185"/>
    <mergeCell ref="B184:B185"/>
    <mergeCell ref="H157:H158"/>
    <mergeCell ref="I482:I483"/>
    <mergeCell ref="I76:I77"/>
    <mergeCell ref="D208:D209"/>
    <mergeCell ref="C208:C209"/>
    <mergeCell ref="G189:G190"/>
    <mergeCell ref="H189:H190"/>
    <mergeCell ref="D189:D190"/>
    <mergeCell ref="C189:C190"/>
    <mergeCell ref="G195:G196"/>
    <mergeCell ref="D197:D198"/>
    <mergeCell ref="C197:C198"/>
    <mergeCell ref="C178:C180"/>
    <mergeCell ref="D178:D180"/>
    <mergeCell ref="C157:C158"/>
    <mergeCell ref="D157:D158"/>
    <mergeCell ref="H139:H140"/>
    <mergeCell ref="C142:C143"/>
    <mergeCell ref="D142:D143"/>
    <mergeCell ref="C139:C140"/>
    <mergeCell ref="H122:H124"/>
    <mergeCell ref="D131:D132"/>
    <mergeCell ref="G163:G164"/>
    <mergeCell ref="H163:H164"/>
    <mergeCell ref="D163:D164"/>
  </mergeCells>
  <pageMargins left="0.70866141732283472" right="0.70866141732283472" top="0.74803149606299213" bottom="0.74803149606299213" header="0.31496062992125984" footer="0.31496062992125984"/>
  <pageSetup paperSize="9" scale="64" fitToHeight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2" workbookViewId="0">
      <selection activeCell="E15" sqref="E15"/>
    </sheetView>
  </sheetViews>
  <sheetFormatPr defaultRowHeight="15"/>
  <cols>
    <col min="1" max="1" width="13" customWidth="1"/>
    <col min="2" max="2" width="52.7109375" customWidth="1"/>
  </cols>
  <sheetData>
    <row r="1" spans="1:5">
      <c r="A1" s="634" t="s">
        <v>350</v>
      </c>
      <c r="B1" s="634" t="s">
        <v>351</v>
      </c>
      <c r="E1" s="334"/>
    </row>
    <row r="2" spans="1:5">
      <c r="A2" s="634"/>
      <c r="B2" s="634"/>
    </row>
    <row r="3" spans="1:5" ht="18.75" customHeight="1">
      <c r="A3" s="320">
        <v>16</v>
      </c>
      <c r="B3" s="329" t="s">
        <v>333</v>
      </c>
    </row>
    <row r="4" spans="1:5" ht="15.75">
      <c r="A4" s="320">
        <v>73</v>
      </c>
      <c r="B4" s="329" t="s">
        <v>66</v>
      </c>
    </row>
    <row r="5" spans="1:5" ht="15.75">
      <c r="A5" s="320">
        <v>341</v>
      </c>
      <c r="B5" s="329" t="s">
        <v>286</v>
      </c>
      <c r="C5" t="s">
        <v>346</v>
      </c>
    </row>
    <row r="6" spans="1:5" ht="15" customHeight="1">
      <c r="A6" s="320">
        <v>152</v>
      </c>
      <c r="B6" s="329" t="s">
        <v>131</v>
      </c>
    </row>
    <row r="7" spans="1:5" ht="15.75">
      <c r="A7" s="291">
        <v>151</v>
      </c>
      <c r="B7" s="329" t="s">
        <v>130</v>
      </c>
    </row>
    <row r="8" spans="1:5" ht="15.75">
      <c r="A8" s="328"/>
      <c r="B8" s="329" t="s">
        <v>347</v>
      </c>
    </row>
    <row r="9" spans="1:5" ht="19.5" customHeight="1">
      <c r="A9" s="320">
        <v>242</v>
      </c>
      <c r="B9" s="329" t="s">
        <v>204</v>
      </c>
    </row>
    <row r="10" spans="1:5" ht="15.75">
      <c r="A10" s="320">
        <v>232</v>
      </c>
      <c r="B10" s="329" t="s">
        <v>196</v>
      </c>
    </row>
    <row r="11" spans="1:5" ht="15" customHeight="1">
      <c r="A11" s="320">
        <v>233</v>
      </c>
      <c r="B11" s="329" t="s">
        <v>303</v>
      </c>
      <c r="C11" t="s">
        <v>346</v>
      </c>
    </row>
    <row r="12" spans="1:5" ht="15.75">
      <c r="A12" s="320">
        <v>255</v>
      </c>
      <c r="B12" s="330" t="s">
        <v>215</v>
      </c>
    </row>
    <row r="13" spans="1:5" ht="15.75">
      <c r="A13" s="320">
        <v>113</v>
      </c>
      <c r="B13" s="329" t="s">
        <v>96</v>
      </c>
    </row>
    <row r="14" spans="1:5" ht="15" customHeight="1">
      <c r="A14" s="335">
        <v>112</v>
      </c>
      <c r="B14" s="336" t="s">
        <v>95</v>
      </c>
    </row>
    <row r="15" spans="1:5" ht="15" customHeight="1">
      <c r="A15" s="320">
        <v>326</v>
      </c>
      <c r="B15" s="329" t="s">
        <v>78</v>
      </c>
    </row>
    <row r="16" spans="1:5" ht="15.75">
      <c r="A16" s="321">
        <v>17</v>
      </c>
      <c r="B16" s="331" t="s">
        <v>17</v>
      </c>
    </row>
    <row r="17" spans="1:2" ht="15" customHeight="1">
      <c r="A17" s="322" t="s">
        <v>348</v>
      </c>
      <c r="B17" s="332" t="s">
        <v>18</v>
      </c>
    </row>
    <row r="18" spans="1:2" ht="15" customHeight="1">
      <c r="A18" s="320">
        <v>114</v>
      </c>
      <c r="B18" s="329" t="s">
        <v>97</v>
      </c>
    </row>
    <row r="19" spans="1:2" ht="15" customHeight="1">
      <c r="A19" s="321">
        <v>137</v>
      </c>
      <c r="B19" s="333" t="s">
        <v>117</v>
      </c>
    </row>
    <row r="20" spans="1:2" ht="15.75">
      <c r="A20" s="320">
        <v>174</v>
      </c>
      <c r="B20" s="329" t="s">
        <v>150</v>
      </c>
    </row>
    <row r="21" spans="1:2" ht="15.75">
      <c r="A21" s="320">
        <v>173</v>
      </c>
      <c r="B21" s="329" t="s">
        <v>149</v>
      </c>
    </row>
    <row r="22" spans="1:2" ht="15.75">
      <c r="A22" s="320">
        <v>317</v>
      </c>
      <c r="B22" s="330" t="s">
        <v>268</v>
      </c>
    </row>
    <row r="23" spans="1:2" ht="15.75">
      <c r="A23" s="328"/>
      <c r="B23" s="337" t="s">
        <v>349</v>
      </c>
    </row>
  </sheetData>
  <mergeCells count="2">
    <mergeCell ref="A1:A2"/>
    <mergeCell ref="B1:B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4" sqref="A24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2024-06-04T07:22:42Z</dcterms:modified>
</cp:coreProperties>
</file>